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1. Manufacturer Values Sales" sheetId="1" r:id="rId4"/>
    <sheet state="hidden" name="2. Manufacturer Market Share" sheetId="2" r:id="rId5"/>
    <sheet state="visible" name="marketSales" sheetId="3" r:id="rId6"/>
    <sheet state="visible" name="Trang tính8" sheetId="4" r:id="rId7"/>
    <sheet state="visible" name="sales" sheetId="5" r:id="rId8"/>
    <sheet state="visible" name="sales+ets predict" sheetId="6" r:id="rId9"/>
    <sheet state="visible" name="productID" sheetId="7" r:id="rId10"/>
    <sheet state="visible" name="BOM" sheetId="8" r:id="rId11"/>
    <sheet state="visible" name="inventory" sheetId="9" r:id="rId12"/>
    <sheet state="visible" name="suppliers" sheetId="10" r:id="rId13"/>
    <sheet state="visible" name="totalMarket" sheetId="11" r:id="rId14"/>
    <sheet state="hidden" name="4. Total Market Share" sheetId="12" r:id="rId15"/>
    <sheet state="visible" name="survey" sheetId="13" r:id="rId16"/>
  </sheets>
  <definedNames>
    <definedName localSheetId="12" name="ExternalData_1">survey!$A$1:$F$57</definedName>
    <definedName localSheetId="1" name="ExternalData_1">'2. Manufacturer Market Share'!$A$1:$H$956</definedName>
    <definedName localSheetId="0" name="ExternalData_1">'1. Manufacturer Values Sales'!$A$1:$H$956</definedName>
    <definedName hidden="1" localSheetId="0" name="_xlnm._FilterDatabase">'1. Manufacturer Values Sales'!$A$1:$J$956</definedName>
    <definedName hidden="1" localSheetId="7" name="_xlnm._FilterDatabase">BOM!$A$1:$H$20</definedName>
    <definedName hidden="1" localSheetId="8" name="_xlnm._FilterDatabase">inventory!$A$1:$B$5</definedName>
    <definedName hidden="1" localSheetId="9" name="_xlnm._FilterDatabase">suppliers!$B$1:$C$13</definedName>
    <definedName hidden="1" localSheetId="0" name="Z_34172F65_3D83_4E64_B6E8_5E072A8FC5D1_.wvu.FilterData">'1. Manufacturer Values Sales'!$A$1:$I$956</definedName>
  </definedNames>
  <calcPr/>
  <customWorkbookViews>
    <customWorkbookView activeSheetId="0" maximized="1" windowHeight="0" windowWidth="0" guid="{34172F65-3D83-4E64-B6E8-5E072A8FC5D1}" name="Vuong 2"/>
  </customWorkbookViews>
</workbook>
</file>

<file path=xl/sharedStrings.xml><?xml version="1.0" encoding="utf-8"?>
<sst xmlns="http://schemas.openxmlformats.org/spreadsheetml/2006/main" count="20174" uniqueCount="203">
  <si>
    <t>Market</t>
  </si>
  <si>
    <t>MANUFACTURER</t>
  </si>
  <si>
    <t>BRAND</t>
  </si>
  <si>
    <t>FLAVOUR</t>
  </si>
  <si>
    <t>PACKAGE</t>
  </si>
  <si>
    <t>BASESIZE</t>
  </si>
  <si>
    <t>Time</t>
  </si>
  <si>
    <t>Sales (Billion VNĐ)</t>
  </si>
  <si>
    <t>COGS</t>
  </si>
  <si>
    <t>Total Units Sold</t>
  </si>
  <si>
    <t>MT Urban</t>
  </si>
  <si>
    <t>Elite</t>
  </si>
  <si>
    <t>Unami</t>
  </si>
  <si>
    <t>Sweetened</t>
  </si>
  <si>
    <t>Carton</t>
  </si>
  <si>
    <t>Q1'22</t>
  </si>
  <si>
    <t>Q2'22</t>
  </si>
  <si>
    <t>Q3'22</t>
  </si>
  <si>
    <t>Q4'22</t>
  </si>
  <si>
    <t>Q1'23</t>
  </si>
  <si>
    <t>Q2'23</t>
  </si>
  <si>
    <t>Q3'23</t>
  </si>
  <si>
    <t>Q4'23</t>
  </si>
  <si>
    <t>TT Off Vietnam</t>
  </si>
  <si>
    <t>TT Off North</t>
  </si>
  <si>
    <t>TT Off Central</t>
  </si>
  <si>
    <t>TT Off South</t>
  </si>
  <si>
    <t>Unami Organic</t>
  </si>
  <si>
    <t>Chocolate</t>
  </si>
  <si>
    <t>TFA</t>
  </si>
  <si>
    <t>Plain</t>
  </si>
  <si>
    <t>Strawberry</t>
  </si>
  <si>
    <t>Farmy</t>
  </si>
  <si>
    <t>Pro Plus</t>
  </si>
  <si>
    <t>Vanilla</t>
  </si>
  <si>
    <t>Pro 100% Fresh</t>
  </si>
  <si>
    <t>Goldmilk</t>
  </si>
  <si>
    <t>Less Sugar</t>
  </si>
  <si>
    <t>Joyi</t>
  </si>
  <si>
    <t>Smartmilk</t>
  </si>
  <si>
    <t>Star</t>
  </si>
  <si>
    <t>Wonderland</t>
  </si>
  <si>
    <t>Mina Organic</t>
  </si>
  <si>
    <t>PLBT</t>
  </si>
  <si>
    <t>Happy Kids</t>
  </si>
  <si>
    <t>MarketShare %</t>
  </si>
  <si>
    <t xml:space="preserve">Pro Plus </t>
  </si>
  <si>
    <t>Product ID</t>
  </si>
  <si>
    <t>Year</t>
  </si>
  <si>
    <t>Quarter</t>
  </si>
  <si>
    <t>Market Share</t>
  </si>
  <si>
    <t>Q1</t>
  </si>
  <si>
    <t>Q2</t>
  </si>
  <si>
    <t>Q3</t>
  </si>
  <si>
    <t>Q4</t>
  </si>
  <si>
    <t>SmSwC110</t>
  </si>
  <si>
    <t>StSwC110</t>
  </si>
  <si>
    <t>SmSwC170</t>
  </si>
  <si>
    <t>StStrC180</t>
  </si>
  <si>
    <t>StSwC180</t>
  </si>
  <si>
    <t>StSwTFA220</t>
  </si>
  <si>
    <t>Unit price</t>
  </si>
  <si>
    <t>Unit cost</t>
  </si>
  <si>
    <t>Encode</t>
  </si>
  <si>
    <t>StarStrawberryCarton180</t>
  </si>
  <si>
    <t>SmartmilkSweetenedCarton110</t>
  </si>
  <si>
    <t>SmartmilkSweetenedCarton170</t>
  </si>
  <si>
    <t>StarSweetenedCarton110</t>
  </si>
  <si>
    <t>StarSweetenedCarton180</t>
  </si>
  <si>
    <t>StarSweetenedTFA220</t>
  </si>
  <si>
    <t>MATERIAL</t>
  </si>
  <si>
    <t>Standard No. Unit</t>
  </si>
  <si>
    <t xml:space="preserve">Standard Price </t>
  </si>
  <si>
    <t>Standard unit</t>
  </si>
  <si>
    <t>Standard Cost Per Unit (Labor + Meterial + Overhead)</t>
  </si>
  <si>
    <t>Additives</t>
  </si>
  <si>
    <t>ton</t>
  </si>
  <si>
    <t>Whole milk</t>
  </si>
  <si>
    <t>litre</t>
  </si>
  <si>
    <t>Skim milk</t>
  </si>
  <si>
    <t>Strawberry jam</t>
  </si>
  <si>
    <t>Cost per unit</t>
  </si>
  <si>
    <t>Material price</t>
  </si>
  <si>
    <t>Standard Price</t>
  </si>
  <si>
    <t>Discount price</t>
  </si>
  <si>
    <t>Material</t>
  </si>
  <si>
    <t>Cost</t>
  </si>
  <si>
    <t>Labor + Overhead</t>
  </si>
  <si>
    <t>Standard cost</t>
  </si>
  <si>
    <t>Unitsold</t>
  </si>
  <si>
    <t>2022</t>
  </si>
  <si>
    <t>2023</t>
  </si>
  <si>
    <t>Skim</t>
  </si>
  <si>
    <t>Whole</t>
  </si>
  <si>
    <t>Unit</t>
  </si>
  <si>
    <t>Cost Price per Unit</t>
  </si>
  <si>
    <t>Average inventory</t>
  </si>
  <si>
    <t>Inventory turnover ratio</t>
  </si>
  <si>
    <t>Column1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</si>
  <si>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</si>
  <si>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</si>
  <si>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</si>
  <si>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</si>
  <si>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</si>
  <si>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</si>
  <si>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</si>
  <si>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</si>
  <si>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2022 Q1</t>
  </si>
  <si>
    <t>2022 Q2</t>
  </si>
  <si>
    <t>2022 Q3</t>
  </si>
  <si>
    <t>2022 Q4</t>
  </si>
  <si>
    <t>2023 Q1</t>
  </si>
  <si>
    <t>2023 Q2</t>
  </si>
  <si>
    <t>2023 Q3</t>
  </si>
  <si>
    <t>2023 Q4</t>
  </si>
  <si>
    <t>Production</t>
  </si>
  <si>
    <t>Purchase</t>
  </si>
  <si>
    <t>Inventory</t>
  </si>
  <si>
    <t>Purchase cost</t>
  </si>
  <si>
    <t>Inventory cost</t>
  </si>
  <si>
    <t>Total purchase</t>
  </si>
  <si>
    <t>Total inventory</t>
  </si>
  <si>
    <t>Total Labor + Overhead</t>
  </si>
  <si>
    <t>SUM of purchase cost</t>
  </si>
  <si>
    <t>Revenue</t>
  </si>
  <si>
    <t>Net cashflow</t>
  </si>
  <si>
    <t>Supplier</t>
  </si>
  <si>
    <t>Cost price 1</t>
  </si>
  <si>
    <t>Minimum Qty 1</t>
  </si>
  <si>
    <t>Cost price 2</t>
  </si>
  <si>
    <t>Minimum Qty 2</t>
  </si>
  <si>
    <t>Payment term</t>
  </si>
  <si>
    <t>Leadtime (days)</t>
  </si>
  <si>
    <t>ALPHAMILK</t>
  </si>
  <si>
    <t>No Require</t>
  </si>
  <si>
    <t>COD - Cash on delivery</t>
  </si>
  <si>
    <t>QUANTAMILK</t>
  </si>
  <si>
    <t>Do not Supply</t>
  </si>
  <si>
    <t>CWO - Cash with order</t>
  </si>
  <si>
    <t>SCRAFLMILK</t>
  </si>
  <si>
    <t>Market sales (Billion VND)</t>
  </si>
  <si>
    <t>Question</t>
  </si>
  <si>
    <t>Response</t>
  </si>
  <si>
    <t>HCMC (%)</t>
  </si>
  <si>
    <t>Hanoi (%)</t>
  </si>
  <si>
    <t>HCM Sample size</t>
  </si>
  <si>
    <t>HaNoi Sample size</t>
  </si>
  <si>
    <t>Q1. KEY DECISION MAKER FOR CHOOSING &amp; BUYING FOOD FOR FAMILY</t>
  </si>
  <si>
    <t>I am the key decision maker for choosing and buying food for family</t>
  </si>
  <si>
    <t>I am not the key decision maker yet I frequently involve in choosing and purchasing food process of my family</t>
  </si>
  <si>
    <t>Q2. AWARENESS OF ORGANIC LIQUID MILK</t>
  </si>
  <si>
    <t>Yes, I know about Organic Liquid Milk</t>
  </si>
  <si>
    <t>I have heard but not clear about Organic Liquid Milk</t>
  </si>
  <si>
    <t>Q3. USE ORGANIC LIQUID MILK IN LAST 6 MONTHS</t>
  </si>
  <si>
    <t>Yes</t>
  </si>
  <si>
    <t>No</t>
  </si>
  <si>
    <t>Q4. CURRENTLY USE ORGANIC LIQUID MILK</t>
  </si>
  <si>
    <t>Q5. THE FREQUENCY OF PURCHASING ORGANIC LIQUID MILK</t>
  </si>
  <si>
    <t>More than once per week</t>
  </si>
  <si>
    <t>Once per week</t>
  </si>
  <si>
    <t xml:space="preserve">2-3 times/ month </t>
  </si>
  <si>
    <t>Once per month</t>
  </si>
  <si>
    <t>Once per 2-3 months</t>
  </si>
  <si>
    <t>Q6. INTENTION TO USE IN NEXT 3 MONTHS</t>
  </si>
  <si>
    <t>Q7A. OPINION TOWARDS HEALTH &amp; FOOD PURCHASING HABIT - Family Health is my top concern</t>
  </si>
  <si>
    <t>Totally disagree</t>
  </si>
  <si>
    <t>Fairly disagree</t>
  </si>
  <si>
    <t>Neither agree or disagree</t>
  </si>
  <si>
    <t>Fairly agree</t>
  </si>
  <si>
    <t>Totally argree</t>
  </si>
  <si>
    <t>Q8. CHANNELS TO PURCHASE FOR LIQUID MILK</t>
  </si>
  <si>
    <t>TRADITIONAL TRADE</t>
  </si>
  <si>
    <t>Wet Market</t>
  </si>
  <si>
    <t>Traditional Grocery Store</t>
  </si>
  <si>
    <t>MODERN TRADE</t>
  </si>
  <si>
    <t>Supermarket (Coopmart, Big C, etc.)</t>
  </si>
  <si>
    <t>Mini-mart (Satrafoods, Co.op Food, Bach Hoa Xanh, etc.)</t>
  </si>
  <si>
    <t>Specialty store (Organica...)</t>
  </si>
  <si>
    <t>Convenience Stores 24/7 (Family Mart, Circle K, etc.)</t>
  </si>
  <si>
    <t>ONLINE</t>
  </si>
  <si>
    <t>Q9. BEHAVIOR TOWARDS ORGANIC LIQUID MILK - Organic Liquid Milk is a new consumption trend</t>
  </si>
  <si>
    <t>Q10. SOURCE OF INFORMATION</t>
  </si>
  <si>
    <t>PUBLIC</t>
  </si>
  <si>
    <t>TV (Adversitement, news, etc.)</t>
  </si>
  <si>
    <t>Newspaper/ Magazine</t>
  </si>
  <si>
    <t>Radio</t>
  </si>
  <si>
    <t>Billboard</t>
  </si>
  <si>
    <t>Advertisement in public areas (park, cinema, etc.)</t>
  </si>
  <si>
    <t>Website</t>
  </si>
  <si>
    <t>Forum, blogs</t>
  </si>
  <si>
    <t>Social networks (Facebook, Instagram....)</t>
  </si>
  <si>
    <t>WORTH OF MOUTH</t>
  </si>
  <si>
    <t>Family/ relatives</t>
  </si>
  <si>
    <t>Friends/ college</t>
  </si>
  <si>
    <t>Nutrition specialist/ doctor</t>
  </si>
  <si>
    <t>Chuyên gia nông nghiệp khuyên dùng</t>
  </si>
  <si>
    <t>TẠI ĐIỂM BÁN (NET)</t>
  </si>
  <si>
    <t>Sản phẩm trưng bày tại cửa hàng/siêu thiị</t>
  </si>
  <si>
    <t>Quảng cáo trên bảng hiệu/ Poster tại cửa hàng</t>
  </si>
  <si>
    <t>Nhân viên tiếp thiị tại cửa hàng/siêu thiị ... giới thiệu sản phẩm</t>
  </si>
  <si>
    <t>Người bán hàng giới thiệu sản phẩm</t>
  </si>
  <si>
    <t>Sự kiện giới thiệu sản phẩm</t>
  </si>
  <si>
    <t>Truy suất nguồn gốc thông tin thực phẩm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</si>
</sst>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#,##0\ [$đ-42A]"/>
    <numFmt numFmtId="165" formatCode="_-* #,##0.00_-;\-* #,##0.00_-;_-* &quot;-&quot;??_-;_-@"/>
    <numFmt numFmtId="166" formatCode="_-* #,##0_-;\-* #,##0_-;_-* &quot;-&quot;??_-;_-@"/>
    <numFmt numFmtId="167" formatCode="_(* #,##0.00_);_(* \(#,##0.00\);_(* &quot;-&quot;??_);_(@_)"/>
    <numFmt numFmtId="168" formatCode="#,##0.0;\-#,##0.0"/>
  </numFmts>
  <fonts count="11">
    <font>
      <sz val="11.0"/>
      <color rgb="FF000000"/>
      <name val="Calibri"/>
      <scheme val="minor"/>
    </font>
    <font>
      <b/>
      <color rgb="FFFFFFFF"/>
      <name val="Calibri"/>
      <scheme val="minor"/>
    </font>
    <font>
      <color theme="1"/>
      <name val="Calibri"/>
      <scheme val="minor"/>
    </font>
    <font>
      <sz val="11.0"/>
      <color rgb="FF000000"/>
      <name val="Calibri"/>
    </font>
    <font>
      <b/>
      <sz val="11.0"/>
      <color rgb="FFFFFFFF"/>
      <name val="Calibri"/>
    </font>
    <font>
      <sz val="11.0"/>
      <color theme="1"/>
      <name val="Calibri"/>
    </font>
    <font>
      <b/>
      <sz val="11.0"/>
      <color theme="1"/>
      <name val="Calibri"/>
    </font>
    <font>
      <b/>
      <sz val="12.0"/>
      <color rgb="FFFFFFFF"/>
      <name val="Calibri"/>
    </font>
    <font>
      <b/>
      <sz val="18.0"/>
      <color theme="1"/>
      <name val="Calibri"/>
      <scheme val="minor"/>
    </font>
    <font>
      <b/>
      <sz val="12.0"/>
      <color rgb="FF000000"/>
      <name val="Calibri"/>
    </font>
    <font>
      <sz val="12.0"/>
      <color rgb="FF000000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0080FF"/>
        <bgColor rgb="FF0080FF"/>
      </patternFill>
    </fill>
    <fill>
      <patternFill patternType="solid">
        <fgColor rgb="FFFFFFFF"/>
        <bgColor rgb="FFFFFFFF"/>
      </patternFill>
    </fill>
    <fill>
      <patternFill patternType="solid">
        <fgColor rgb="FFD8D8D8"/>
        <bgColor rgb="FFD8D8D8"/>
      </patternFill>
    </fill>
    <fill>
      <patternFill patternType="solid">
        <fgColor rgb="FFB4C6E7"/>
        <bgColor rgb="FFB4C6E7"/>
      </patternFill>
    </fill>
    <fill>
      <patternFill patternType="solid">
        <fgColor rgb="FF5B9BD5"/>
        <bgColor rgb="FF5B9BD5"/>
      </patternFill>
    </fill>
    <fill>
      <patternFill patternType="solid">
        <fgColor rgb="FFDAEEF3"/>
        <bgColor rgb="FFDAEEF3"/>
      </patternFill>
    </fill>
  </fills>
  <borders count="10">
    <border/>
    <border>
      <bottom style="thin">
        <color rgb="FF999999"/>
      </bottom>
    </border>
    <border>
      <right style="thin">
        <color rgb="FF999999"/>
      </right>
    </border>
    <border>
      <right style="thin">
        <color rgb="FFFFFFFF"/>
      </right>
      <bottom style="thin">
        <color rgb="FF999999"/>
      </bottom>
    </border>
    <border>
      <right style="thin">
        <color rgb="FF999999"/>
      </right>
      <bottom style="thin">
        <color rgb="FF999999"/>
      </bottom>
    </border>
    <border>
      <right style="thin">
        <color rgb="FF999999"/>
      </right>
      <bottom style="thin">
        <color rgb="FFFFFFFF"/>
      </bottom>
    </border>
    <border>
      <left style="thin">
        <color rgb="FFD8D8D8"/>
      </left>
      <right style="thin">
        <color rgb="FFD8D8D8"/>
      </right>
      <top style="thin">
        <color rgb="FFD8D8D8"/>
      </top>
      <bottom style="thin">
        <color rgb="FFD8D8D8"/>
      </bottom>
    </border>
    <border>
      <bottom style="medium">
        <color rgb="FF000000"/>
      </bottom>
    </border>
    <border>
      <bottom style="thin">
        <color rgb="FF000000"/>
      </bottom>
    </border>
    <border>
      <left style="thin">
        <color rgb="FFD8D8D8"/>
      </left>
      <right style="thin">
        <color rgb="FFD8D8D8"/>
      </right>
      <top style="thin">
        <color rgb="FFD8D8D8"/>
      </top>
    </border>
  </borders>
  <cellStyleXfs count="1">
    <xf borderId="0" fillId="0" fontId="0" numFmtId="0" applyAlignment="1" applyFont="1"/>
  </cellStyleXfs>
  <cellXfs count="10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/>
    </xf>
    <xf borderId="0" fillId="2" fontId="1" numFmtId="0" xfId="0" applyAlignment="1" applyFont="1">
      <alignment horizontal="center" readingOrder="0"/>
    </xf>
    <xf borderId="0" fillId="3" fontId="2" numFmtId="0" xfId="0" applyFill="1" applyFont="1"/>
    <xf borderId="0" fillId="3" fontId="2" numFmtId="49" xfId="0" applyFont="1" applyNumberFormat="1"/>
    <xf borderId="0" fillId="3" fontId="2" numFmtId="4" xfId="0" applyFont="1" applyNumberFormat="1"/>
    <xf borderId="0" fillId="3" fontId="2" numFmtId="0" xfId="0" applyAlignment="1" applyFont="1">
      <alignment readingOrder="0"/>
    </xf>
    <xf borderId="0" fillId="3" fontId="2" numFmtId="4" xfId="0" applyAlignment="1" applyFont="1" applyNumberFormat="1">
      <alignment readingOrder="0"/>
    </xf>
    <xf borderId="0" fillId="2" fontId="1" numFmtId="0" xfId="0" applyFont="1"/>
    <xf borderId="0" fillId="0" fontId="2" numFmtId="0" xfId="0" applyFont="1"/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 readingOrder="0"/>
    </xf>
    <xf borderId="0" fillId="0" fontId="2" numFmtId="4" xfId="0" applyAlignment="1" applyFont="1" applyNumberFormat="1">
      <alignment horizontal="center" readingOrder="0"/>
    </xf>
    <xf borderId="0" fillId="0" fontId="2" numFmtId="2" xfId="0" applyAlignment="1" applyFont="1" applyNumberFormat="1">
      <alignment horizontal="center"/>
    </xf>
    <xf borderId="0" fillId="0" fontId="3" numFmtId="3" xfId="0" applyAlignment="1" applyFont="1" applyNumberFormat="1">
      <alignment horizontal="right" readingOrder="0" shrinkToFit="0" vertical="bottom" wrapText="0"/>
    </xf>
    <xf borderId="0" fillId="0" fontId="2" numFmtId="0" xfId="0" applyFont="1"/>
    <xf borderId="0" fillId="0" fontId="2" numFmtId="0" xfId="0" applyAlignment="1" applyFont="1">
      <alignment readingOrder="0"/>
    </xf>
    <xf borderId="0" fillId="2" fontId="4" numFmtId="0" xfId="0" applyAlignment="1" applyFont="1">
      <alignment horizontal="center" readingOrder="0" shrinkToFit="0" vertical="bottom" wrapText="0"/>
    </xf>
    <xf borderId="0" fillId="0" fontId="3" numFmtId="0" xfId="0" applyAlignment="1" applyFont="1">
      <alignment horizontal="right" readingOrder="0" shrinkToFit="0" vertical="bottom" wrapText="0"/>
    </xf>
    <xf borderId="0" fillId="0" fontId="3" numFmtId="0" xfId="0" applyAlignment="1" applyFont="1">
      <alignment readingOrder="0" shrinkToFit="0" vertical="bottom" wrapText="0"/>
    </xf>
    <xf borderId="0" fillId="0" fontId="3" numFmtId="0" xfId="0" applyAlignment="1" applyFont="1">
      <alignment readingOrder="0" shrinkToFit="0" vertical="bottom" wrapText="0"/>
    </xf>
    <xf borderId="0" fillId="0" fontId="3" numFmtId="0" xfId="0" applyAlignment="1" applyFont="1">
      <alignment horizontal="right" readingOrder="0" shrinkToFit="0" vertical="bottom" wrapText="0"/>
    </xf>
    <xf borderId="0" fillId="0" fontId="3" numFmtId="0" xfId="0" applyAlignment="1" applyFont="1">
      <alignment shrinkToFit="0" vertical="bottom" wrapText="0"/>
    </xf>
    <xf borderId="0" fillId="0" fontId="2" numFmtId="0" xfId="0" applyAlignment="1" applyFont="1">
      <alignment readingOrder="0"/>
    </xf>
    <xf borderId="0" fillId="2" fontId="1" numFmtId="0" xfId="0" applyAlignment="1" applyFont="1">
      <alignment horizontal="center" shrinkToFit="0" vertical="center" wrapText="1"/>
    </xf>
    <xf borderId="0" fillId="2" fontId="1" numFmtId="0" xfId="0" applyAlignment="1" applyFont="1">
      <alignment horizontal="center" readingOrder="0" shrinkToFit="0" vertical="center" wrapText="1"/>
    </xf>
    <xf borderId="0" fillId="0" fontId="2" numFmtId="164" xfId="0" applyAlignment="1" applyFont="1" applyNumberFormat="1">
      <alignment readingOrder="0"/>
    </xf>
    <xf borderId="0" fillId="0" fontId="5" numFmtId="0" xfId="0" applyAlignment="1" applyFont="1">
      <alignment vertical="bottom"/>
    </xf>
    <xf borderId="0" fillId="0" fontId="5" numFmtId="0" xfId="0" applyAlignment="1" applyFont="1">
      <alignment vertical="bottom"/>
    </xf>
    <xf borderId="0" fillId="0" fontId="5" numFmtId="164" xfId="0" applyAlignment="1" applyFont="1" applyNumberFormat="1">
      <alignment vertical="bottom"/>
    </xf>
    <xf borderId="0" fillId="0" fontId="5" numFmtId="164" xfId="0" applyAlignment="1" applyFont="1" applyNumberFormat="1">
      <alignment shrinkToFit="0" vertical="bottom" wrapText="0"/>
    </xf>
    <xf borderId="0" fillId="0" fontId="5" numFmtId="0" xfId="0" applyAlignment="1" applyFont="1">
      <alignment horizontal="right" vertical="bottom"/>
    </xf>
    <xf borderId="0" fillId="0" fontId="5" numFmtId="0" xfId="0" applyAlignment="1" applyFont="1">
      <alignment horizontal="right" vertical="bottom"/>
    </xf>
    <xf borderId="0" fillId="0" fontId="5" numFmtId="164" xfId="0" applyAlignment="1" applyFont="1" applyNumberFormat="1">
      <alignment horizontal="right" vertical="bottom"/>
    </xf>
    <xf borderId="0" fillId="0" fontId="5" numFmtId="165" xfId="0" applyAlignment="1" applyFont="1" applyNumberFormat="1">
      <alignment horizontal="right" vertical="bottom"/>
    </xf>
    <xf borderId="0" fillId="0" fontId="5" numFmtId="166" xfId="0" applyAlignment="1" applyFont="1" applyNumberFormat="1">
      <alignment horizontal="right" vertical="bottom"/>
    </xf>
    <xf borderId="0" fillId="0" fontId="5" numFmtId="166" xfId="0" applyAlignment="1" applyFont="1" applyNumberFormat="1">
      <alignment vertical="bottom"/>
    </xf>
    <xf borderId="1" fillId="0" fontId="5" numFmtId="0" xfId="0" applyAlignment="1" applyBorder="1" applyFont="1">
      <alignment vertical="bottom"/>
    </xf>
    <xf borderId="1" fillId="0" fontId="5" numFmtId="164" xfId="0" applyAlignment="1" applyBorder="1" applyFont="1" applyNumberFormat="1">
      <alignment vertical="bottom"/>
    </xf>
    <xf borderId="0" fillId="0" fontId="6" numFmtId="0" xfId="0" applyAlignment="1" applyFont="1">
      <alignment vertical="bottom"/>
    </xf>
    <xf borderId="2" fillId="0" fontId="5" numFmtId="0" xfId="0" applyAlignment="1" applyBorder="1" applyFont="1">
      <alignment vertical="bottom"/>
    </xf>
    <xf borderId="3" fillId="0" fontId="5" numFmtId="0" xfId="0" applyAlignment="1" applyBorder="1" applyFont="1">
      <alignment vertical="bottom"/>
    </xf>
    <xf borderId="3" fillId="0" fontId="5" numFmtId="164" xfId="0" applyAlignment="1" applyBorder="1" applyFont="1" applyNumberFormat="1">
      <alignment vertical="bottom"/>
    </xf>
    <xf borderId="4" fillId="0" fontId="5" numFmtId="164" xfId="0" applyAlignment="1" applyBorder="1" applyFont="1" applyNumberFormat="1">
      <alignment vertical="bottom"/>
    </xf>
    <xf borderId="1" fillId="0" fontId="5" numFmtId="0" xfId="0" applyAlignment="1" applyBorder="1" applyFont="1">
      <alignment vertical="bottom"/>
    </xf>
    <xf borderId="4" fillId="0" fontId="5" numFmtId="0" xfId="0" applyAlignment="1" applyBorder="1" applyFont="1">
      <alignment vertical="bottom"/>
    </xf>
    <xf borderId="2" fillId="0" fontId="5" numFmtId="0" xfId="0" applyAlignment="1" applyBorder="1" applyFont="1">
      <alignment vertical="bottom"/>
    </xf>
    <xf borderId="4" fillId="0" fontId="5" numFmtId="0" xfId="0" applyAlignment="1" applyBorder="1" applyFont="1">
      <alignment vertical="bottom"/>
    </xf>
    <xf borderId="4" fillId="0" fontId="5" numFmtId="0" xfId="0" applyAlignment="1" applyBorder="1" applyFont="1">
      <alignment horizontal="right" vertical="bottom"/>
    </xf>
    <xf borderId="1" fillId="0" fontId="5" numFmtId="0" xfId="0" applyAlignment="1" applyBorder="1" applyFont="1">
      <alignment horizontal="right" vertical="bottom"/>
    </xf>
    <xf borderId="1" fillId="0" fontId="5" numFmtId="164" xfId="0" applyAlignment="1" applyBorder="1" applyFont="1" applyNumberFormat="1">
      <alignment horizontal="right" vertical="bottom"/>
    </xf>
    <xf borderId="4" fillId="0" fontId="5" numFmtId="164" xfId="0" applyAlignment="1" applyBorder="1" applyFont="1" applyNumberFormat="1">
      <alignment horizontal="right" vertical="bottom"/>
    </xf>
    <xf borderId="5" fillId="0" fontId="5" numFmtId="0" xfId="0" applyAlignment="1" applyBorder="1" applyFont="1">
      <alignment vertical="bottom"/>
    </xf>
    <xf borderId="2" fillId="0" fontId="5" numFmtId="0" xfId="0" applyAlignment="1" applyBorder="1" applyFont="1">
      <alignment horizontal="right" vertical="bottom"/>
    </xf>
    <xf borderId="2" fillId="0" fontId="5" numFmtId="164" xfId="0" applyAlignment="1" applyBorder="1" applyFont="1" applyNumberFormat="1">
      <alignment horizontal="right" vertical="bottom"/>
    </xf>
    <xf borderId="2" fillId="0" fontId="5" numFmtId="164" xfId="0" applyAlignment="1" applyBorder="1" applyFont="1" applyNumberFormat="1">
      <alignment vertical="bottom"/>
    </xf>
    <xf borderId="0" fillId="2" fontId="7" numFmtId="49" xfId="0" applyAlignment="1" applyFont="1" applyNumberFormat="1">
      <alignment horizontal="center" readingOrder="0" shrinkToFit="0" vertical="center" wrapText="1"/>
    </xf>
    <xf borderId="6" fillId="2" fontId="7" numFmtId="49" xfId="0" applyAlignment="1" applyBorder="1" applyFont="1" applyNumberFormat="1">
      <alignment horizontal="center" readingOrder="0" shrinkToFit="0" vertical="center" wrapText="1"/>
    </xf>
    <xf borderId="0" fillId="4" fontId="5" numFmtId="0" xfId="0" applyAlignment="1" applyFill="1" applyFont="1">
      <alignment vertical="bottom"/>
    </xf>
    <xf borderId="0" fillId="4" fontId="5" numFmtId="164" xfId="0" applyAlignment="1" applyFont="1" applyNumberFormat="1">
      <alignment horizontal="right" vertical="bottom"/>
    </xf>
    <xf borderId="0" fillId="4" fontId="5" numFmtId="2" xfId="0" applyAlignment="1" applyFont="1" applyNumberFormat="1">
      <alignment horizontal="right" vertical="bottom"/>
    </xf>
    <xf borderId="0" fillId="5" fontId="5" numFmtId="0" xfId="0" applyAlignment="1" applyFill="1" applyFont="1">
      <alignment vertical="bottom"/>
    </xf>
    <xf borderId="0" fillId="5" fontId="5" numFmtId="164" xfId="0" applyAlignment="1" applyFont="1" applyNumberFormat="1">
      <alignment horizontal="right" vertical="bottom"/>
    </xf>
    <xf borderId="0" fillId="5" fontId="5" numFmtId="166" xfId="0" applyAlignment="1" applyFont="1" applyNumberFormat="1">
      <alignment horizontal="right" vertical="bottom"/>
    </xf>
    <xf borderId="0" fillId="4" fontId="5" numFmtId="0" xfId="0" applyAlignment="1" applyFont="1">
      <alignment shrinkToFit="0" vertical="bottom" wrapText="0"/>
    </xf>
    <xf borderId="0" fillId="4" fontId="5" numFmtId="164" xfId="0" applyAlignment="1" applyFont="1" applyNumberFormat="1">
      <alignment vertical="bottom"/>
    </xf>
    <xf borderId="0" fillId="4" fontId="5" numFmtId="2" xfId="0" applyAlignment="1" applyFont="1" applyNumberFormat="1">
      <alignment vertical="bottom"/>
    </xf>
    <xf borderId="0" fillId="4" fontId="5" numFmtId="4" xfId="0" applyAlignment="1" applyFont="1" applyNumberFormat="1">
      <alignment horizontal="right" vertical="bottom"/>
    </xf>
    <xf borderId="0" fillId="5" fontId="5" numFmtId="164" xfId="0" applyAlignment="1" applyFont="1" applyNumberFormat="1">
      <alignment vertical="bottom"/>
    </xf>
    <xf borderId="0" fillId="5" fontId="5" numFmtId="4" xfId="0" applyAlignment="1" applyFont="1" applyNumberFormat="1">
      <alignment horizontal="right" vertical="bottom"/>
    </xf>
    <xf borderId="0" fillId="3" fontId="5" numFmtId="0" xfId="0" applyAlignment="1" applyFont="1">
      <alignment shrinkToFit="0" vertical="bottom" wrapText="0"/>
    </xf>
    <xf borderId="0" fillId="3" fontId="5" numFmtId="0" xfId="0" applyAlignment="1" applyFont="1">
      <alignment vertical="bottom"/>
    </xf>
    <xf borderId="0" fillId="3" fontId="5" numFmtId="164" xfId="0" applyAlignment="1" applyFont="1" applyNumberFormat="1">
      <alignment vertical="bottom"/>
    </xf>
    <xf borderId="0" fillId="3" fontId="5" numFmtId="2" xfId="0" applyAlignment="1" applyFont="1" applyNumberFormat="1">
      <alignment horizontal="center" vertical="bottom"/>
    </xf>
    <xf borderId="0" fillId="3" fontId="5" numFmtId="2" xfId="0" applyAlignment="1" applyFont="1" applyNumberFormat="1">
      <alignment horizontal="right" vertical="bottom"/>
    </xf>
    <xf borderId="0" fillId="3" fontId="5" numFmtId="2" xfId="0" applyAlignment="1" applyFont="1" applyNumberFormat="1">
      <alignment vertical="bottom"/>
    </xf>
    <xf borderId="0" fillId="0" fontId="5" numFmtId="2" xfId="0" applyAlignment="1" applyFont="1" applyNumberFormat="1">
      <alignment horizontal="right" vertical="bottom"/>
    </xf>
    <xf borderId="7" fillId="0" fontId="5" numFmtId="0" xfId="0" applyAlignment="1" applyBorder="1" applyFont="1">
      <alignment vertical="bottom"/>
    </xf>
    <xf borderId="8" fillId="0" fontId="5" numFmtId="0" xfId="0" applyAlignment="1" applyBorder="1" applyFont="1">
      <alignment vertical="bottom"/>
    </xf>
    <xf borderId="7" fillId="0" fontId="5" numFmtId="164" xfId="0" applyAlignment="1" applyBorder="1" applyFont="1" applyNumberFormat="1">
      <alignment vertical="bottom"/>
    </xf>
    <xf borderId="7" fillId="0" fontId="5" numFmtId="166" xfId="0" applyAlignment="1" applyBorder="1" applyFont="1" applyNumberFormat="1">
      <alignment vertical="bottom"/>
    </xf>
    <xf borderId="8" fillId="0" fontId="6" numFmtId="0" xfId="0" applyAlignment="1" applyBorder="1" applyFont="1">
      <alignment vertical="bottom"/>
    </xf>
    <xf borderId="7" fillId="6" fontId="7" numFmtId="49" xfId="0" applyAlignment="1" applyBorder="1" applyFill="1" applyFont="1" applyNumberFormat="1">
      <alignment horizontal="center" shrinkToFit="0" wrapText="1"/>
    </xf>
    <xf borderId="0" fillId="0" fontId="5" numFmtId="2" xfId="0" applyAlignment="1" applyFont="1" applyNumberFormat="1">
      <alignment vertical="bottom"/>
    </xf>
    <xf borderId="7" fillId="3" fontId="7" numFmtId="49" xfId="0" applyAlignment="1" applyBorder="1" applyFont="1" applyNumberFormat="1">
      <alignment horizontal="center" shrinkToFit="0" wrapText="1"/>
    </xf>
    <xf borderId="0" fillId="5" fontId="5" numFmtId="2" xfId="0" applyAlignment="1" applyFont="1" applyNumberFormat="1">
      <alignment horizontal="right" vertical="bottom"/>
    </xf>
    <xf borderId="0" fillId="5" fontId="5" numFmtId="2" xfId="0" applyAlignment="1" applyFont="1" applyNumberFormat="1">
      <alignment vertical="bottom"/>
    </xf>
    <xf borderId="0" fillId="5" fontId="5" numFmtId="167" xfId="0" applyAlignment="1" applyFont="1" applyNumberFormat="1">
      <alignment horizontal="right" vertical="bottom"/>
    </xf>
    <xf borderId="7" fillId="0" fontId="5" numFmtId="2" xfId="0" applyAlignment="1" applyBorder="1" applyFont="1" applyNumberFormat="1">
      <alignment vertical="bottom"/>
    </xf>
    <xf borderId="0" fillId="3" fontId="7" numFmtId="49" xfId="0" applyAlignment="1" applyFont="1" applyNumberFormat="1">
      <alignment horizontal="center" shrinkToFit="0" wrapText="1"/>
    </xf>
    <xf borderId="0" fillId="4" fontId="5" numFmtId="166" xfId="0" applyAlignment="1" applyFont="1" applyNumberFormat="1">
      <alignment horizontal="right" vertical="bottom"/>
    </xf>
    <xf borderId="0" fillId="5" fontId="5" numFmtId="167" xfId="0" applyAlignment="1" applyFont="1" applyNumberFormat="1">
      <alignment vertical="bottom"/>
    </xf>
    <xf borderId="0" fillId="4" fontId="5" numFmtId="167" xfId="0" applyAlignment="1" applyFont="1" applyNumberFormat="1">
      <alignment horizontal="right" vertical="bottom"/>
    </xf>
    <xf borderId="0" fillId="4" fontId="5" numFmtId="165" xfId="0" applyAlignment="1" applyFont="1" applyNumberFormat="1">
      <alignment horizontal="right" vertical="bottom"/>
    </xf>
    <xf borderId="0" fillId="3" fontId="5" numFmtId="167" xfId="0" applyAlignment="1" applyFont="1" applyNumberFormat="1">
      <alignment vertical="bottom"/>
    </xf>
    <xf borderId="0" fillId="0" fontId="5" numFmtId="0" xfId="0" applyAlignment="1" applyFont="1">
      <alignment shrinkToFit="0" vertical="bottom" wrapText="0"/>
    </xf>
    <xf borderId="0" fillId="0" fontId="5" numFmtId="167" xfId="0" applyAlignment="1" applyFont="1" applyNumberFormat="1">
      <alignment horizontal="right" vertical="bottom"/>
    </xf>
    <xf borderId="0" fillId="0" fontId="5" numFmtId="4" xfId="0" applyAlignment="1" applyFont="1" applyNumberFormat="1">
      <alignment horizontal="right" vertical="bottom"/>
    </xf>
    <xf borderId="0" fillId="0" fontId="2" numFmtId="0" xfId="0" applyAlignment="1" applyFont="1">
      <alignment horizontal="center" readingOrder="0"/>
    </xf>
    <xf borderId="0" fillId="0" fontId="8" numFmtId="0" xfId="0" applyAlignment="1" applyFont="1">
      <alignment readingOrder="0"/>
    </xf>
    <xf borderId="6" fillId="2" fontId="7" numFmtId="49" xfId="0" applyAlignment="1" applyBorder="1" applyFont="1" applyNumberFormat="1">
      <alignment horizontal="left" shrinkToFit="0" vertical="top" wrapText="1"/>
    </xf>
    <xf borderId="6" fillId="2" fontId="7" numFmtId="49" xfId="0" applyAlignment="1" applyBorder="1" applyFont="1" applyNumberFormat="1">
      <alignment horizontal="left" shrinkToFit="0" vertical="center" wrapText="1"/>
    </xf>
    <xf borderId="9" fillId="0" fontId="9" numFmtId="49" xfId="0" applyAlignment="1" applyBorder="1" applyFont="1" applyNumberFormat="1">
      <alignment shrinkToFit="0" vertical="top" wrapText="1"/>
    </xf>
    <xf borderId="6" fillId="7" fontId="9" numFmtId="49" xfId="0" applyAlignment="1" applyBorder="1" applyFill="1" applyFont="1" applyNumberFormat="1">
      <alignment horizontal="left" shrinkToFit="0" vertical="center" wrapText="1"/>
    </xf>
    <xf borderId="6" fillId="7" fontId="10" numFmtId="37" xfId="0" applyAlignment="1" applyBorder="1" applyFont="1" applyNumberFormat="1">
      <alignment horizontal="center" shrinkToFit="0" wrapText="1"/>
    </xf>
    <xf borderId="6" fillId="7" fontId="10" numFmtId="168" xfId="0" applyAlignment="1" applyBorder="1" applyFont="1" applyNumberFormat="1">
      <alignment horizontal="center" shrinkToFit="0" wrapText="1"/>
    </xf>
  </cellXfs>
  <cellStyles count="1">
    <cellStyle xfId="0" name="Normal" builtinId="0"/>
  </cellStyles>
  <dxfs count="5">
    <dxf>
      <font/>
      <fill>
        <patternFill patternType="none"/>
      </fill>
      <border/>
    </dxf>
    <dxf>
      <font/>
      <fill>
        <patternFill patternType="solid">
          <fgColor theme="9"/>
          <bgColor theme="9"/>
        </patternFill>
      </fill>
      <border/>
    </dxf>
    <dxf>
      <font/>
      <fill>
        <patternFill patternType="solid">
          <fgColor rgb="FFE2EFD9"/>
          <bgColor rgb="FFE2EFD9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</dxfs>
  <tableStyles count="2">
    <tableStyle count="3" pivot="0" name="2. Manufacturer Market Share-style">
      <tableStyleElement dxfId="1" type="headerRow"/>
      <tableStyleElement dxfId="2" type="firstRowStripe"/>
      <tableStyleElement dxfId="3" type="secondRowStripe"/>
    </tableStyle>
    <tableStyle count="3" pivot="0" name="survey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H956" displayName="Table_1" name="Table_1" id="1">
  <tableColumns count="8">
    <tableColumn name="Market" id="1"/>
    <tableColumn name="MANUFACTURER" id="2"/>
    <tableColumn name="BRAND" id="3"/>
    <tableColumn name="FLAVOUR" id="4"/>
    <tableColumn name="PACKAGE" id="5"/>
    <tableColumn name="BASESIZE" id="6"/>
    <tableColumn name="Time" id="7"/>
    <tableColumn name="MarketShare %" id="8"/>
  </tableColumns>
  <tableStyleInfo name="2. Manufacturer Market Share-style" showColumnStripes="0" showFirstColumn="1" showLastColumn="1" showRowStripes="1"/>
</table>
</file>

<file path=xl/tables/table2.xml><?xml version="1.0" encoding="utf-8"?>
<table xmlns="http://schemas.openxmlformats.org/spreadsheetml/2006/main" ref="A1:F57" displayName="Table_2" name="Table_2" id="2">
  <tableColumns count="6">
    <tableColumn name="Question" id="1"/>
    <tableColumn name="Response" id="2"/>
    <tableColumn name="HCMC (%)" id="3"/>
    <tableColumn name="Hanoi (%)" id="4"/>
    <tableColumn name="HCM Sample size" id="5"/>
    <tableColumn name="HaNoi Sample size" id="6"/>
  </tableColumns>
  <tableStyleInfo name="survey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Relationship Id="rId3" Type="http://schemas.openxmlformats.org/officeDocument/2006/relationships/table" Target="../tables/table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1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43"/>
    <col customWidth="1" min="2" max="2" width="17.71"/>
    <col customWidth="1" min="3" max="3" width="13.57"/>
    <col customWidth="1" min="4" max="5" width="11.29"/>
    <col customWidth="1" min="6" max="6" width="11.14"/>
    <col customWidth="1" min="7" max="7" width="7.29"/>
    <col customWidth="1" min="8" max="10" width="23.0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</row>
    <row r="2" ht="14.25" customHeight="1">
      <c r="A2" s="3" t="s">
        <v>10</v>
      </c>
      <c r="B2" s="3" t="s">
        <v>11</v>
      </c>
      <c r="C2" s="3" t="s">
        <v>12</v>
      </c>
      <c r="D2" s="3" t="s">
        <v>13</v>
      </c>
      <c r="E2" s="3" t="s">
        <v>14</v>
      </c>
      <c r="F2" s="3">
        <v>110.0</v>
      </c>
      <c r="G2" s="4" t="s">
        <v>15</v>
      </c>
      <c r="H2" s="3">
        <v>21.63086952226257</v>
      </c>
      <c r="I2" s="3"/>
      <c r="J2" s="5"/>
    </row>
    <row r="3" ht="14.25" customHeight="1">
      <c r="A3" s="3" t="s">
        <v>10</v>
      </c>
      <c r="B3" s="3" t="s">
        <v>11</v>
      </c>
      <c r="C3" s="3" t="s">
        <v>12</v>
      </c>
      <c r="D3" s="3" t="s">
        <v>13</v>
      </c>
      <c r="E3" s="3" t="s">
        <v>14</v>
      </c>
      <c r="F3" s="3">
        <v>110.0</v>
      </c>
      <c r="G3" s="4" t="s">
        <v>16</v>
      </c>
      <c r="H3" s="3">
        <v>20.190850367289443</v>
      </c>
      <c r="I3" s="3"/>
      <c r="J3" s="5"/>
    </row>
    <row r="4" ht="14.25" customHeight="1">
      <c r="A4" s="3" t="s">
        <v>10</v>
      </c>
      <c r="B4" s="3" t="s">
        <v>11</v>
      </c>
      <c r="C4" s="3" t="s">
        <v>12</v>
      </c>
      <c r="D4" s="3" t="s">
        <v>13</v>
      </c>
      <c r="E4" s="3" t="s">
        <v>14</v>
      </c>
      <c r="F4" s="3">
        <v>110.0</v>
      </c>
      <c r="G4" s="4" t="s">
        <v>17</v>
      </c>
      <c r="H4" s="3">
        <v>22.29609672352069</v>
      </c>
      <c r="I4" s="3"/>
      <c r="J4" s="5"/>
    </row>
    <row r="5" ht="14.25" customHeight="1">
      <c r="A5" s="3" t="s">
        <v>10</v>
      </c>
      <c r="B5" s="3" t="s">
        <v>11</v>
      </c>
      <c r="C5" s="3" t="s">
        <v>12</v>
      </c>
      <c r="D5" s="3" t="s">
        <v>13</v>
      </c>
      <c r="E5" s="3" t="s">
        <v>14</v>
      </c>
      <c r="F5" s="3">
        <v>110.0</v>
      </c>
      <c r="G5" s="4" t="s">
        <v>18</v>
      </c>
      <c r="H5" s="3">
        <v>16.951507897500846</v>
      </c>
      <c r="I5" s="3"/>
      <c r="J5" s="5"/>
    </row>
    <row r="6" ht="14.25" customHeight="1">
      <c r="A6" s="3" t="s">
        <v>10</v>
      </c>
      <c r="B6" s="3" t="s">
        <v>11</v>
      </c>
      <c r="C6" s="3" t="s">
        <v>12</v>
      </c>
      <c r="D6" s="3" t="s">
        <v>13</v>
      </c>
      <c r="E6" s="3" t="s">
        <v>14</v>
      </c>
      <c r="F6" s="3">
        <v>110.0</v>
      </c>
      <c r="G6" s="4" t="s">
        <v>19</v>
      </c>
      <c r="H6" s="3">
        <v>18.149618535905404</v>
      </c>
      <c r="I6" s="3"/>
      <c r="J6" s="5"/>
    </row>
    <row r="7" ht="14.25" customHeight="1">
      <c r="A7" s="3" t="s">
        <v>10</v>
      </c>
      <c r="B7" s="3" t="s">
        <v>11</v>
      </c>
      <c r="C7" s="3" t="s">
        <v>12</v>
      </c>
      <c r="D7" s="3" t="s">
        <v>13</v>
      </c>
      <c r="E7" s="3" t="s">
        <v>14</v>
      </c>
      <c r="F7" s="3">
        <v>110.0</v>
      </c>
      <c r="G7" s="4" t="s">
        <v>20</v>
      </c>
      <c r="H7" s="3">
        <v>16.480294209844686</v>
      </c>
      <c r="I7" s="3"/>
      <c r="J7" s="5"/>
    </row>
    <row r="8" ht="14.25" customHeight="1">
      <c r="A8" s="3" t="s">
        <v>10</v>
      </c>
      <c r="B8" s="3" t="s">
        <v>11</v>
      </c>
      <c r="C8" s="3" t="s">
        <v>12</v>
      </c>
      <c r="D8" s="3" t="s">
        <v>13</v>
      </c>
      <c r="E8" s="3" t="s">
        <v>14</v>
      </c>
      <c r="F8" s="3">
        <v>110.0</v>
      </c>
      <c r="G8" s="4" t="s">
        <v>21</v>
      </c>
      <c r="H8" s="3">
        <v>17.84299350345168</v>
      </c>
      <c r="I8" s="3"/>
      <c r="J8" s="5"/>
    </row>
    <row r="9" ht="14.25" customHeight="1">
      <c r="A9" s="3" t="s">
        <v>10</v>
      </c>
      <c r="B9" s="3" t="s">
        <v>11</v>
      </c>
      <c r="C9" s="3" t="s">
        <v>12</v>
      </c>
      <c r="D9" s="3" t="s">
        <v>13</v>
      </c>
      <c r="E9" s="3" t="s">
        <v>14</v>
      </c>
      <c r="F9" s="3">
        <v>110.0</v>
      </c>
      <c r="G9" s="4" t="s">
        <v>22</v>
      </c>
      <c r="H9" s="3">
        <v>16.109676559284026</v>
      </c>
      <c r="I9" s="3"/>
      <c r="J9" s="5"/>
    </row>
    <row r="10" ht="14.25" customHeight="1">
      <c r="A10" s="3" t="s">
        <v>23</v>
      </c>
      <c r="B10" s="3" t="s">
        <v>11</v>
      </c>
      <c r="C10" s="3" t="s">
        <v>12</v>
      </c>
      <c r="D10" s="3" t="s">
        <v>13</v>
      </c>
      <c r="E10" s="3" t="s">
        <v>14</v>
      </c>
      <c r="F10" s="3">
        <v>110.0</v>
      </c>
      <c r="G10" s="4" t="s">
        <v>15</v>
      </c>
      <c r="H10" s="3">
        <v>230.0732384643686</v>
      </c>
      <c r="I10" s="3"/>
      <c r="J10" s="5"/>
    </row>
    <row r="11" ht="14.25" customHeight="1">
      <c r="A11" s="3" t="s">
        <v>23</v>
      </c>
      <c r="B11" s="3" t="s">
        <v>11</v>
      </c>
      <c r="C11" s="3" t="s">
        <v>12</v>
      </c>
      <c r="D11" s="3" t="s">
        <v>13</v>
      </c>
      <c r="E11" s="3" t="s">
        <v>14</v>
      </c>
      <c r="F11" s="3">
        <v>110.0</v>
      </c>
      <c r="G11" s="4" t="s">
        <v>16</v>
      </c>
      <c r="H11" s="3">
        <v>212.28774008776043</v>
      </c>
      <c r="I11" s="3"/>
      <c r="J11" s="5"/>
    </row>
    <row r="12" ht="14.25" customHeight="1">
      <c r="A12" s="3" t="s">
        <v>23</v>
      </c>
      <c r="B12" s="3" t="s">
        <v>11</v>
      </c>
      <c r="C12" s="3" t="s">
        <v>12</v>
      </c>
      <c r="D12" s="3" t="s">
        <v>13</v>
      </c>
      <c r="E12" s="3" t="s">
        <v>14</v>
      </c>
      <c r="F12" s="3">
        <v>110.0</v>
      </c>
      <c r="G12" s="4" t="s">
        <v>17</v>
      </c>
      <c r="H12" s="3">
        <v>225.64843827363978</v>
      </c>
      <c r="I12" s="3"/>
      <c r="J12" s="5"/>
    </row>
    <row r="13" ht="14.25" customHeight="1">
      <c r="A13" s="3" t="s">
        <v>23</v>
      </c>
      <c r="B13" s="3" t="s">
        <v>11</v>
      </c>
      <c r="C13" s="3" t="s">
        <v>12</v>
      </c>
      <c r="D13" s="3" t="s">
        <v>13</v>
      </c>
      <c r="E13" s="3" t="s">
        <v>14</v>
      </c>
      <c r="F13" s="3">
        <v>110.0</v>
      </c>
      <c r="G13" s="4" t="s">
        <v>18</v>
      </c>
      <c r="H13" s="3">
        <v>222.51750313095084</v>
      </c>
      <c r="I13" s="3"/>
      <c r="J13" s="5"/>
    </row>
    <row r="14" ht="14.25" customHeight="1">
      <c r="A14" s="3" t="s">
        <v>23</v>
      </c>
      <c r="B14" s="3" t="s">
        <v>11</v>
      </c>
      <c r="C14" s="3" t="s">
        <v>12</v>
      </c>
      <c r="D14" s="3" t="s">
        <v>13</v>
      </c>
      <c r="E14" s="3" t="s">
        <v>14</v>
      </c>
      <c r="F14" s="3">
        <v>110.0</v>
      </c>
      <c r="G14" s="4" t="s">
        <v>19</v>
      </c>
      <c r="H14" s="3">
        <v>205.6011254464979</v>
      </c>
      <c r="I14" s="3"/>
      <c r="J14" s="5"/>
    </row>
    <row r="15" ht="14.25" customHeight="1">
      <c r="A15" s="3" t="s">
        <v>23</v>
      </c>
      <c r="B15" s="3" t="s">
        <v>11</v>
      </c>
      <c r="C15" s="3" t="s">
        <v>12</v>
      </c>
      <c r="D15" s="3" t="s">
        <v>13</v>
      </c>
      <c r="E15" s="3" t="s">
        <v>14</v>
      </c>
      <c r="F15" s="3">
        <v>110.0</v>
      </c>
      <c r="G15" s="4" t="s">
        <v>20</v>
      </c>
      <c r="H15" s="3">
        <v>201.83004031749175</v>
      </c>
      <c r="I15" s="3"/>
      <c r="J15" s="5"/>
    </row>
    <row r="16" ht="14.25" customHeight="1">
      <c r="A16" s="3" t="s">
        <v>23</v>
      </c>
      <c r="B16" s="3" t="s">
        <v>11</v>
      </c>
      <c r="C16" s="3" t="s">
        <v>12</v>
      </c>
      <c r="D16" s="3" t="s">
        <v>13</v>
      </c>
      <c r="E16" s="3" t="s">
        <v>14</v>
      </c>
      <c r="F16" s="3">
        <v>110.0</v>
      </c>
      <c r="G16" s="4" t="s">
        <v>21</v>
      </c>
      <c r="H16" s="3">
        <v>201.61390102703433</v>
      </c>
      <c r="I16" s="3"/>
      <c r="J16" s="5"/>
    </row>
    <row r="17" ht="14.25" customHeight="1">
      <c r="A17" s="3" t="s">
        <v>23</v>
      </c>
      <c r="B17" s="3" t="s">
        <v>11</v>
      </c>
      <c r="C17" s="3" t="s">
        <v>12</v>
      </c>
      <c r="D17" s="3" t="s">
        <v>13</v>
      </c>
      <c r="E17" s="3" t="s">
        <v>14</v>
      </c>
      <c r="F17" s="3">
        <v>110.0</v>
      </c>
      <c r="G17" s="4" t="s">
        <v>22</v>
      </c>
      <c r="H17" s="3">
        <v>185.74495160196412</v>
      </c>
      <c r="I17" s="3"/>
      <c r="J17" s="5"/>
    </row>
    <row r="18" ht="14.25" customHeight="1">
      <c r="A18" s="3" t="s">
        <v>24</v>
      </c>
      <c r="B18" s="3" t="s">
        <v>11</v>
      </c>
      <c r="C18" s="3" t="s">
        <v>12</v>
      </c>
      <c r="D18" s="3" t="s">
        <v>13</v>
      </c>
      <c r="E18" s="3" t="s">
        <v>14</v>
      </c>
      <c r="F18" s="3">
        <v>110.0</v>
      </c>
      <c r="G18" s="4" t="s">
        <v>15</v>
      </c>
      <c r="H18" s="3">
        <v>104.04915633571545</v>
      </c>
      <c r="I18" s="3"/>
      <c r="J18" s="5"/>
    </row>
    <row r="19" ht="14.25" customHeight="1">
      <c r="A19" s="3" t="s">
        <v>24</v>
      </c>
      <c r="B19" s="3" t="s">
        <v>11</v>
      </c>
      <c r="C19" s="3" t="s">
        <v>12</v>
      </c>
      <c r="D19" s="3" t="s">
        <v>13</v>
      </c>
      <c r="E19" s="3" t="s">
        <v>14</v>
      </c>
      <c r="F19" s="3">
        <v>110.0</v>
      </c>
      <c r="G19" s="4" t="s">
        <v>16</v>
      </c>
      <c r="H19" s="3">
        <v>109.53843201569924</v>
      </c>
      <c r="I19" s="3"/>
      <c r="J19" s="5"/>
    </row>
    <row r="20" ht="14.25" customHeight="1">
      <c r="A20" s="3" t="s">
        <v>24</v>
      </c>
      <c r="B20" s="3" t="s">
        <v>11</v>
      </c>
      <c r="C20" s="3" t="s">
        <v>12</v>
      </c>
      <c r="D20" s="3" t="s">
        <v>13</v>
      </c>
      <c r="E20" s="3" t="s">
        <v>14</v>
      </c>
      <c r="F20" s="3">
        <v>110.0</v>
      </c>
      <c r="G20" s="4" t="s">
        <v>17</v>
      </c>
      <c r="H20" s="3">
        <v>115.22615320378252</v>
      </c>
      <c r="I20" s="3"/>
      <c r="J20" s="5"/>
    </row>
    <row r="21" ht="14.25" customHeight="1">
      <c r="A21" s="3" t="s">
        <v>24</v>
      </c>
      <c r="B21" s="3" t="s">
        <v>11</v>
      </c>
      <c r="C21" s="3" t="s">
        <v>12</v>
      </c>
      <c r="D21" s="3" t="s">
        <v>13</v>
      </c>
      <c r="E21" s="3" t="s">
        <v>14</v>
      </c>
      <c r="F21" s="3">
        <v>110.0</v>
      </c>
      <c r="G21" s="4" t="s">
        <v>18</v>
      </c>
      <c r="H21" s="3">
        <v>106.01564422428436</v>
      </c>
      <c r="I21" s="3"/>
      <c r="J21" s="5"/>
    </row>
    <row r="22" ht="14.25" customHeight="1">
      <c r="A22" s="3" t="s">
        <v>24</v>
      </c>
      <c r="B22" s="3" t="s">
        <v>11</v>
      </c>
      <c r="C22" s="3" t="s">
        <v>12</v>
      </c>
      <c r="D22" s="3" t="s">
        <v>13</v>
      </c>
      <c r="E22" s="3" t="s">
        <v>14</v>
      </c>
      <c r="F22" s="3">
        <v>110.0</v>
      </c>
      <c r="G22" s="4" t="s">
        <v>19</v>
      </c>
      <c r="H22" s="3">
        <v>97.84402749021362</v>
      </c>
      <c r="I22" s="3"/>
      <c r="J22" s="5"/>
    </row>
    <row r="23" ht="14.25" customHeight="1">
      <c r="A23" s="3" t="s">
        <v>24</v>
      </c>
      <c r="B23" s="3" t="s">
        <v>11</v>
      </c>
      <c r="C23" s="3" t="s">
        <v>12</v>
      </c>
      <c r="D23" s="3" t="s">
        <v>13</v>
      </c>
      <c r="E23" s="3" t="s">
        <v>14</v>
      </c>
      <c r="F23" s="3">
        <v>110.0</v>
      </c>
      <c r="G23" s="4" t="s">
        <v>20</v>
      </c>
      <c r="H23" s="3">
        <v>103.58072272870523</v>
      </c>
      <c r="I23" s="3"/>
      <c r="J23" s="5"/>
    </row>
    <row r="24" ht="14.25" customHeight="1">
      <c r="A24" s="3" t="s">
        <v>24</v>
      </c>
      <c r="B24" s="3" t="s">
        <v>11</v>
      </c>
      <c r="C24" s="3" t="s">
        <v>12</v>
      </c>
      <c r="D24" s="3" t="s">
        <v>13</v>
      </c>
      <c r="E24" s="3" t="s">
        <v>14</v>
      </c>
      <c r="F24" s="3">
        <v>110.0</v>
      </c>
      <c r="G24" s="4" t="s">
        <v>21</v>
      </c>
      <c r="H24" s="3">
        <v>107.92421714613546</v>
      </c>
      <c r="I24" s="3"/>
      <c r="J24" s="5"/>
    </row>
    <row r="25" ht="14.25" customHeight="1">
      <c r="A25" s="3" t="s">
        <v>24</v>
      </c>
      <c r="B25" s="3" t="s">
        <v>11</v>
      </c>
      <c r="C25" s="3" t="s">
        <v>12</v>
      </c>
      <c r="D25" s="3" t="s">
        <v>13</v>
      </c>
      <c r="E25" s="3" t="s">
        <v>14</v>
      </c>
      <c r="F25" s="3">
        <v>110.0</v>
      </c>
      <c r="G25" s="4" t="s">
        <v>22</v>
      </c>
      <c r="H25" s="3">
        <v>100.12199087902029</v>
      </c>
      <c r="I25" s="3"/>
      <c r="J25" s="5"/>
    </row>
    <row r="26" ht="14.25" customHeight="1">
      <c r="A26" s="3" t="s">
        <v>25</v>
      </c>
      <c r="B26" s="3" t="s">
        <v>11</v>
      </c>
      <c r="C26" s="3" t="s">
        <v>12</v>
      </c>
      <c r="D26" s="3" t="s">
        <v>13</v>
      </c>
      <c r="E26" s="3" t="s">
        <v>14</v>
      </c>
      <c r="F26" s="3">
        <v>110.0</v>
      </c>
      <c r="G26" s="4" t="s">
        <v>15</v>
      </c>
      <c r="H26" s="3">
        <v>64.01031230049325</v>
      </c>
      <c r="I26" s="3"/>
      <c r="J26" s="5"/>
    </row>
    <row r="27" ht="14.25" customHeight="1">
      <c r="A27" s="3" t="s">
        <v>25</v>
      </c>
      <c r="B27" s="3" t="s">
        <v>11</v>
      </c>
      <c r="C27" s="3" t="s">
        <v>12</v>
      </c>
      <c r="D27" s="3" t="s">
        <v>13</v>
      </c>
      <c r="E27" s="3" t="s">
        <v>14</v>
      </c>
      <c r="F27" s="3">
        <v>110.0</v>
      </c>
      <c r="G27" s="4" t="s">
        <v>16</v>
      </c>
      <c r="H27" s="3">
        <v>53.7315710750225</v>
      </c>
      <c r="I27" s="3"/>
      <c r="J27" s="5"/>
    </row>
    <row r="28" ht="14.25" customHeight="1">
      <c r="A28" s="3" t="s">
        <v>25</v>
      </c>
      <c r="B28" s="3" t="s">
        <v>11</v>
      </c>
      <c r="C28" s="3" t="s">
        <v>12</v>
      </c>
      <c r="D28" s="3" t="s">
        <v>13</v>
      </c>
      <c r="E28" s="3" t="s">
        <v>14</v>
      </c>
      <c r="F28" s="3">
        <v>110.0</v>
      </c>
      <c r="G28" s="4" t="s">
        <v>17</v>
      </c>
      <c r="H28" s="3">
        <v>58.52150457004086</v>
      </c>
      <c r="I28" s="3"/>
      <c r="J28" s="5"/>
    </row>
    <row r="29" ht="14.25" customHeight="1">
      <c r="A29" s="3" t="s">
        <v>25</v>
      </c>
      <c r="B29" s="3" t="s">
        <v>11</v>
      </c>
      <c r="C29" s="3" t="s">
        <v>12</v>
      </c>
      <c r="D29" s="3" t="s">
        <v>13</v>
      </c>
      <c r="E29" s="3" t="s">
        <v>14</v>
      </c>
      <c r="F29" s="3">
        <v>110.0</v>
      </c>
      <c r="G29" s="4" t="s">
        <v>18</v>
      </c>
      <c r="H29" s="3">
        <v>55.55663301549312</v>
      </c>
      <c r="I29" s="3"/>
      <c r="J29" s="5"/>
    </row>
    <row r="30" ht="14.25" customHeight="1">
      <c r="A30" s="3" t="s">
        <v>25</v>
      </c>
      <c r="B30" s="3" t="s">
        <v>11</v>
      </c>
      <c r="C30" s="3" t="s">
        <v>12</v>
      </c>
      <c r="D30" s="3" t="s">
        <v>13</v>
      </c>
      <c r="E30" s="3" t="s">
        <v>14</v>
      </c>
      <c r="F30" s="3">
        <v>110.0</v>
      </c>
      <c r="G30" s="4" t="s">
        <v>19</v>
      </c>
      <c r="H30" s="3">
        <v>50.63848461416832</v>
      </c>
      <c r="I30" s="3"/>
      <c r="J30" s="5"/>
    </row>
    <row r="31" ht="14.25" customHeight="1">
      <c r="A31" s="3" t="s">
        <v>25</v>
      </c>
      <c r="B31" s="3" t="s">
        <v>11</v>
      </c>
      <c r="C31" s="3" t="s">
        <v>12</v>
      </c>
      <c r="D31" s="3" t="s">
        <v>13</v>
      </c>
      <c r="E31" s="3" t="s">
        <v>14</v>
      </c>
      <c r="F31" s="3">
        <v>110.0</v>
      </c>
      <c r="G31" s="4" t="s">
        <v>20</v>
      </c>
      <c r="H31" s="3">
        <v>45.05407783131288</v>
      </c>
      <c r="I31" s="3"/>
      <c r="J31" s="5"/>
    </row>
    <row r="32" ht="14.25" customHeight="1">
      <c r="A32" s="3" t="s">
        <v>25</v>
      </c>
      <c r="B32" s="3" t="s">
        <v>11</v>
      </c>
      <c r="C32" s="3" t="s">
        <v>12</v>
      </c>
      <c r="D32" s="3" t="s">
        <v>13</v>
      </c>
      <c r="E32" s="3" t="s">
        <v>14</v>
      </c>
      <c r="F32" s="3">
        <v>110.0</v>
      </c>
      <c r="G32" s="4" t="s">
        <v>21</v>
      </c>
      <c r="H32" s="3">
        <v>43.57914938703833</v>
      </c>
      <c r="I32" s="3"/>
      <c r="J32" s="5"/>
    </row>
    <row r="33" ht="14.25" customHeight="1">
      <c r="A33" s="3" t="s">
        <v>25</v>
      </c>
      <c r="B33" s="3" t="s">
        <v>11</v>
      </c>
      <c r="C33" s="3" t="s">
        <v>12</v>
      </c>
      <c r="D33" s="3" t="s">
        <v>13</v>
      </c>
      <c r="E33" s="3" t="s">
        <v>14</v>
      </c>
      <c r="F33" s="3">
        <v>110.0</v>
      </c>
      <c r="G33" s="4" t="s">
        <v>22</v>
      </c>
      <c r="H33" s="3">
        <v>41.81005037841282</v>
      </c>
      <c r="I33" s="3"/>
      <c r="J33" s="5"/>
    </row>
    <row r="34" ht="14.25" customHeight="1">
      <c r="A34" s="3" t="s">
        <v>26</v>
      </c>
      <c r="B34" s="3" t="s">
        <v>11</v>
      </c>
      <c r="C34" s="3" t="s">
        <v>12</v>
      </c>
      <c r="D34" s="3" t="s">
        <v>13</v>
      </c>
      <c r="E34" s="3" t="s">
        <v>14</v>
      </c>
      <c r="F34" s="3">
        <v>110.0</v>
      </c>
      <c r="G34" s="4" t="s">
        <v>15</v>
      </c>
      <c r="H34" s="3">
        <v>75.16678239044711</v>
      </c>
      <c r="I34" s="3"/>
      <c r="J34" s="5"/>
    </row>
    <row r="35" ht="14.25" customHeight="1">
      <c r="A35" s="3" t="s">
        <v>26</v>
      </c>
      <c r="B35" s="3" t="s">
        <v>11</v>
      </c>
      <c r="C35" s="3" t="s">
        <v>12</v>
      </c>
      <c r="D35" s="3" t="s">
        <v>13</v>
      </c>
      <c r="E35" s="3" t="s">
        <v>14</v>
      </c>
      <c r="F35" s="3">
        <v>110.0</v>
      </c>
      <c r="G35" s="4" t="s">
        <v>16</v>
      </c>
      <c r="H35" s="3">
        <v>64.72826996344685</v>
      </c>
      <c r="I35" s="3"/>
      <c r="J35" s="5"/>
    </row>
    <row r="36" ht="14.25" customHeight="1">
      <c r="A36" s="3" t="s">
        <v>26</v>
      </c>
      <c r="B36" s="3" t="s">
        <v>11</v>
      </c>
      <c r="C36" s="3" t="s">
        <v>12</v>
      </c>
      <c r="D36" s="3" t="s">
        <v>13</v>
      </c>
      <c r="E36" s="3" t="s">
        <v>14</v>
      </c>
      <c r="F36" s="3">
        <v>110.0</v>
      </c>
      <c r="G36" s="4" t="s">
        <v>17</v>
      </c>
      <c r="H36" s="3">
        <v>65.6561053513167</v>
      </c>
      <c r="I36" s="3"/>
      <c r="J36" s="5"/>
    </row>
    <row r="37" ht="14.25" customHeight="1">
      <c r="A37" s="3" t="s">
        <v>26</v>
      </c>
      <c r="B37" s="3" t="s">
        <v>11</v>
      </c>
      <c r="C37" s="3" t="s">
        <v>12</v>
      </c>
      <c r="D37" s="3" t="s">
        <v>13</v>
      </c>
      <c r="E37" s="3" t="s">
        <v>14</v>
      </c>
      <c r="F37" s="3">
        <v>110.0</v>
      </c>
      <c r="G37" s="4" t="s">
        <v>18</v>
      </c>
      <c r="H37" s="3">
        <v>65.87930203032934</v>
      </c>
      <c r="I37" s="3"/>
      <c r="J37" s="5"/>
    </row>
    <row r="38" ht="14.25" customHeight="1">
      <c r="A38" s="3" t="s">
        <v>26</v>
      </c>
      <c r="B38" s="3" t="s">
        <v>11</v>
      </c>
      <c r="C38" s="3" t="s">
        <v>12</v>
      </c>
      <c r="D38" s="3" t="s">
        <v>13</v>
      </c>
      <c r="E38" s="3" t="s">
        <v>14</v>
      </c>
      <c r="F38" s="3">
        <v>110.0</v>
      </c>
      <c r="G38" s="4" t="s">
        <v>19</v>
      </c>
      <c r="H38" s="3">
        <v>61.365083139288636</v>
      </c>
      <c r="I38" s="3"/>
      <c r="J38" s="5"/>
    </row>
    <row r="39" ht="14.25" customHeight="1">
      <c r="A39" s="3" t="s">
        <v>26</v>
      </c>
      <c r="B39" s="3" t="s">
        <v>11</v>
      </c>
      <c r="C39" s="3" t="s">
        <v>12</v>
      </c>
      <c r="D39" s="3" t="s">
        <v>13</v>
      </c>
      <c r="E39" s="3" t="s">
        <v>14</v>
      </c>
      <c r="F39" s="3">
        <v>110.0</v>
      </c>
      <c r="G39" s="4" t="s">
        <v>20</v>
      </c>
      <c r="H39" s="3">
        <v>56.8007202004184</v>
      </c>
      <c r="I39" s="3"/>
      <c r="J39" s="5"/>
    </row>
    <row r="40" ht="14.25" customHeight="1">
      <c r="A40" s="3" t="s">
        <v>26</v>
      </c>
      <c r="B40" s="3" t="s">
        <v>11</v>
      </c>
      <c r="C40" s="3" t="s">
        <v>12</v>
      </c>
      <c r="D40" s="3" t="s">
        <v>13</v>
      </c>
      <c r="E40" s="3" t="s">
        <v>14</v>
      </c>
      <c r="F40" s="3">
        <v>110.0</v>
      </c>
      <c r="G40" s="4" t="s">
        <v>21</v>
      </c>
      <c r="H40" s="3">
        <v>52.657661203230575</v>
      </c>
      <c r="I40" s="3"/>
      <c r="J40" s="5"/>
    </row>
    <row r="41" ht="14.25" customHeight="1">
      <c r="A41" s="3" t="s">
        <v>26</v>
      </c>
      <c r="B41" s="3" t="s">
        <v>11</v>
      </c>
      <c r="C41" s="3" t="s">
        <v>12</v>
      </c>
      <c r="D41" s="3" t="s">
        <v>13</v>
      </c>
      <c r="E41" s="3" t="s">
        <v>14</v>
      </c>
      <c r="F41" s="3">
        <v>110.0</v>
      </c>
      <c r="G41" s="4" t="s">
        <v>22</v>
      </c>
      <c r="H41" s="3">
        <v>46.87712725506474</v>
      </c>
      <c r="I41" s="3"/>
      <c r="J41" s="5"/>
    </row>
    <row r="42" ht="14.25" customHeight="1">
      <c r="A42" s="3" t="s">
        <v>10</v>
      </c>
      <c r="B42" s="3" t="s">
        <v>11</v>
      </c>
      <c r="C42" s="3" t="s">
        <v>27</v>
      </c>
      <c r="D42" s="3" t="s">
        <v>13</v>
      </c>
      <c r="E42" s="3" t="s">
        <v>14</v>
      </c>
      <c r="F42" s="3">
        <v>110.0</v>
      </c>
      <c r="G42" s="4" t="s">
        <v>15</v>
      </c>
      <c r="H42" s="3">
        <v>28.60474066662428</v>
      </c>
      <c r="I42" s="3"/>
      <c r="J42" s="5"/>
    </row>
    <row r="43" ht="14.25" customHeight="1">
      <c r="A43" s="3" t="s">
        <v>10</v>
      </c>
      <c r="B43" s="3" t="s">
        <v>11</v>
      </c>
      <c r="C43" s="3" t="s">
        <v>27</v>
      </c>
      <c r="D43" s="3" t="s">
        <v>13</v>
      </c>
      <c r="E43" s="3" t="s">
        <v>14</v>
      </c>
      <c r="F43" s="3">
        <v>110.0</v>
      </c>
      <c r="G43" s="4" t="s">
        <v>16</v>
      </c>
      <c r="H43" s="3">
        <v>22.605777888991582</v>
      </c>
      <c r="I43" s="3"/>
      <c r="J43" s="5"/>
    </row>
    <row r="44" ht="14.25" customHeight="1">
      <c r="A44" s="3" t="s">
        <v>10</v>
      </c>
      <c r="B44" s="3" t="s">
        <v>11</v>
      </c>
      <c r="C44" s="3" t="s">
        <v>27</v>
      </c>
      <c r="D44" s="3" t="s">
        <v>13</v>
      </c>
      <c r="E44" s="3" t="s">
        <v>14</v>
      </c>
      <c r="F44" s="3">
        <v>110.0</v>
      </c>
      <c r="G44" s="4" t="s">
        <v>17</v>
      </c>
      <c r="H44" s="3">
        <v>25.037914112659564</v>
      </c>
      <c r="I44" s="3"/>
      <c r="J44" s="5"/>
    </row>
    <row r="45" ht="14.25" customHeight="1">
      <c r="A45" s="3" t="s">
        <v>10</v>
      </c>
      <c r="B45" s="3" t="s">
        <v>11</v>
      </c>
      <c r="C45" s="3" t="s">
        <v>27</v>
      </c>
      <c r="D45" s="3" t="s">
        <v>13</v>
      </c>
      <c r="E45" s="3" t="s">
        <v>14</v>
      </c>
      <c r="F45" s="3">
        <v>110.0</v>
      </c>
      <c r="G45" s="4" t="s">
        <v>18</v>
      </c>
      <c r="H45" s="3">
        <v>24.0719980069739</v>
      </c>
      <c r="I45" s="3"/>
      <c r="J45" s="5"/>
    </row>
    <row r="46" ht="14.25" customHeight="1">
      <c r="A46" s="3" t="s">
        <v>10</v>
      </c>
      <c r="B46" s="3" t="s">
        <v>11</v>
      </c>
      <c r="C46" s="3" t="s">
        <v>27</v>
      </c>
      <c r="D46" s="3" t="s">
        <v>13</v>
      </c>
      <c r="E46" s="3" t="s">
        <v>14</v>
      </c>
      <c r="F46" s="3">
        <v>110.0</v>
      </c>
      <c r="G46" s="4" t="s">
        <v>19</v>
      </c>
      <c r="H46" s="3">
        <v>28.936999265598928</v>
      </c>
      <c r="I46" s="3"/>
      <c r="J46" s="5"/>
    </row>
    <row r="47" ht="14.25" customHeight="1">
      <c r="A47" s="3" t="s">
        <v>10</v>
      </c>
      <c r="B47" s="3" t="s">
        <v>11</v>
      </c>
      <c r="C47" s="3" t="s">
        <v>27</v>
      </c>
      <c r="D47" s="3" t="s">
        <v>13</v>
      </c>
      <c r="E47" s="3" t="s">
        <v>14</v>
      </c>
      <c r="F47" s="3">
        <v>110.0</v>
      </c>
      <c r="G47" s="4" t="s">
        <v>20</v>
      </c>
      <c r="H47" s="3">
        <v>31.102880283095544</v>
      </c>
      <c r="I47" s="3"/>
      <c r="J47" s="5"/>
    </row>
    <row r="48" ht="14.25" customHeight="1">
      <c r="A48" s="3" t="s">
        <v>10</v>
      </c>
      <c r="B48" s="3" t="s">
        <v>11</v>
      </c>
      <c r="C48" s="3" t="s">
        <v>27</v>
      </c>
      <c r="D48" s="3" t="s">
        <v>13</v>
      </c>
      <c r="E48" s="3" t="s">
        <v>14</v>
      </c>
      <c r="F48" s="3">
        <v>110.0</v>
      </c>
      <c r="G48" s="4" t="s">
        <v>21</v>
      </c>
      <c r="H48" s="3">
        <v>28.74972569353207</v>
      </c>
      <c r="I48" s="3"/>
      <c r="J48" s="5"/>
    </row>
    <row r="49" ht="14.25" customHeight="1">
      <c r="A49" s="3" t="s">
        <v>10</v>
      </c>
      <c r="B49" s="3" t="s">
        <v>11</v>
      </c>
      <c r="C49" s="3" t="s">
        <v>27</v>
      </c>
      <c r="D49" s="3" t="s">
        <v>13</v>
      </c>
      <c r="E49" s="3" t="s">
        <v>14</v>
      </c>
      <c r="F49" s="3">
        <v>110.0</v>
      </c>
      <c r="G49" s="4" t="s">
        <v>22</v>
      </c>
      <c r="H49" s="3">
        <v>26.81836231208348</v>
      </c>
      <c r="I49" s="3"/>
      <c r="J49" s="5"/>
    </row>
    <row r="50" ht="14.25" customHeight="1">
      <c r="A50" s="3" t="s">
        <v>23</v>
      </c>
      <c r="B50" s="3" t="s">
        <v>11</v>
      </c>
      <c r="C50" s="3" t="s">
        <v>27</v>
      </c>
      <c r="D50" s="3" t="s">
        <v>13</v>
      </c>
      <c r="E50" s="3" t="s">
        <v>14</v>
      </c>
      <c r="F50" s="3">
        <v>110.0</v>
      </c>
      <c r="G50" s="4" t="s">
        <v>15</v>
      </c>
      <c r="H50" s="3">
        <v>164.22232723940405</v>
      </c>
      <c r="I50" s="3"/>
      <c r="J50" s="5"/>
    </row>
    <row r="51" ht="14.25" customHeight="1">
      <c r="A51" s="3" t="s">
        <v>23</v>
      </c>
      <c r="B51" s="3" t="s">
        <v>11</v>
      </c>
      <c r="C51" s="3" t="s">
        <v>27</v>
      </c>
      <c r="D51" s="3" t="s">
        <v>13</v>
      </c>
      <c r="E51" s="3" t="s">
        <v>14</v>
      </c>
      <c r="F51" s="3">
        <v>110.0</v>
      </c>
      <c r="G51" s="4" t="s">
        <v>16</v>
      </c>
      <c r="H51" s="3">
        <v>172.88358484050966</v>
      </c>
      <c r="I51" s="3"/>
      <c r="J51" s="5"/>
    </row>
    <row r="52" ht="14.25" customHeight="1">
      <c r="A52" s="3" t="s">
        <v>23</v>
      </c>
      <c r="B52" s="3" t="s">
        <v>11</v>
      </c>
      <c r="C52" s="3" t="s">
        <v>27</v>
      </c>
      <c r="D52" s="3" t="s">
        <v>13</v>
      </c>
      <c r="E52" s="3" t="s">
        <v>14</v>
      </c>
      <c r="F52" s="3">
        <v>110.0</v>
      </c>
      <c r="G52" s="4" t="s">
        <v>17</v>
      </c>
      <c r="H52" s="3">
        <v>196.98857708882412</v>
      </c>
      <c r="I52" s="3"/>
      <c r="J52" s="5"/>
    </row>
    <row r="53" ht="14.25" customHeight="1">
      <c r="A53" s="3" t="s">
        <v>23</v>
      </c>
      <c r="B53" s="3" t="s">
        <v>11</v>
      </c>
      <c r="C53" s="3" t="s">
        <v>27</v>
      </c>
      <c r="D53" s="3" t="s">
        <v>13</v>
      </c>
      <c r="E53" s="3" t="s">
        <v>14</v>
      </c>
      <c r="F53" s="3">
        <v>110.0</v>
      </c>
      <c r="G53" s="4" t="s">
        <v>18</v>
      </c>
      <c r="H53" s="3">
        <v>217.71460415294115</v>
      </c>
      <c r="I53" s="3"/>
      <c r="J53" s="5"/>
    </row>
    <row r="54" ht="14.25" customHeight="1">
      <c r="A54" s="3" t="s">
        <v>23</v>
      </c>
      <c r="B54" s="3" t="s">
        <v>11</v>
      </c>
      <c r="C54" s="3" t="s">
        <v>27</v>
      </c>
      <c r="D54" s="3" t="s">
        <v>13</v>
      </c>
      <c r="E54" s="3" t="s">
        <v>14</v>
      </c>
      <c r="F54" s="3">
        <v>110.0</v>
      </c>
      <c r="G54" s="4" t="s">
        <v>19</v>
      </c>
      <c r="H54" s="3">
        <v>225.05315761866854</v>
      </c>
      <c r="I54" s="3"/>
      <c r="J54" s="5"/>
    </row>
    <row r="55" ht="14.25" customHeight="1">
      <c r="A55" s="3" t="s">
        <v>23</v>
      </c>
      <c r="B55" s="3" t="s">
        <v>11</v>
      </c>
      <c r="C55" s="3" t="s">
        <v>27</v>
      </c>
      <c r="D55" s="3" t="s">
        <v>13</v>
      </c>
      <c r="E55" s="3" t="s">
        <v>14</v>
      </c>
      <c r="F55" s="3">
        <v>110.0</v>
      </c>
      <c r="G55" s="4" t="s">
        <v>20</v>
      </c>
      <c r="H55" s="3">
        <v>250.39732284204956</v>
      </c>
      <c r="I55" s="3"/>
      <c r="J55" s="5"/>
    </row>
    <row r="56" ht="14.25" customHeight="1">
      <c r="A56" s="3" t="s">
        <v>23</v>
      </c>
      <c r="B56" s="3" t="s">
        <v>11</v>
      </c>
      <c r="C56" s="3" t="s">
        <v>27</v>
      </c>
      <c r="D56" s="3" t="s">
        <v>13</v>
      </c>
      <c r="E56" s="3" t="s">
        <v>14</v>
      </c>
      <c r="F56" s="3">
        <v>110.0</v>
      </c>
      <c r="G56" s="4" t="s">
        <v>21</v>
      </c>
      <c r="H56" s="3">
        <v>255.94128179779307</v>
      </c>
      <c r="I56" s="3"/>
      <c r="J56" s="5"/>
    </row>
    <row r="57" ht="14.25" customHeight="1">
      <c r="A57" s="3" t="s">
        <v>23</v>
      </c>
      <c r="B57" s="3" t="s">
        <v>11</v>
      </c>
      <c r="C57" s="3" t="s">
        <v>27</v>
      </c>
      <c r="D57" s="3" t="s">
        <v>13</v>
      </c>
      <c r="E57" s="3" t="s">
        <v>14</v>
      </c>
      <c r="F57" s="3">
        <v>110.0</v>
      </c>
      <c r="G57" s="4" t="s">
        <v>22</v>
      </c>
      <c r="H57" s="3">
        <v>253.5003152191291</v>
      </c>
      <c r="I57" s="3"/>
      <c r="J57" s="5"/>
    </row>
    <row r="58" ht="14.25" customHeight="1">
      <c r="A58" s="3" t="s">
        <v>24</v>
      </c>
      <c r="B58" s="3" t="s">
        <v>11</v>
      </c>
      <c r="C58" s="3" t="s">
        <v>27</v>
      </c>
      <c r="D58" s="3" t="s">
        <v>13</v>
      </c>
      <c r="E58" s="3" t="s">
        <v>14</v>
      </c>
      <c r="F58" s="3">
        <v>110.0</v>
      </c>
      <c r="G58" s="4" t="s">
        <v>15</v>
      </c>
      <c r="H58" s="3">
        <v>28.406170693373284</v>
      </c>
      <c r="I58" s="3"/>
      <c r="J58" s="5"/>
    </row>
    <row r="59" ht="14.25" customHeight="1">
      <c r="A59" s="3" t="s">
        <v>24</v>
      </c>
      <c r="B59" s="3" t="s">
        <v>11</v>
      </c>
      <c r="C59" s="3" t="s">
        <v>27</v>
      </c>
      <c r="D59" s="3" t="s">
        <v>13</v>
      </c>
      <c r="E59" s="3" t="s">
        <v>14</v>
      </c>
      <c r="F59" s="3">
        <v>110.0</v>
      </c>
      <c r="G59" s="4" t="s">
        <v>16</v>
      </c>
      <c r="H59" s="3">
        <v>36.622410000273135</v>
      </c>
      <c r="I59" s="3"/>
      <c r="J59" s="5"/>
    </row>
    <row r="60" ht="14.25" customHeight="1">
      <c r="A60" s="3" t="s">
        <v>24</v>
      </c>
      <c r="B60" s="3" t="s">
        <v>11</v>
      </c>
      <c r="C60" s="3" t="s">
        <v>27</v>
      </c>
      <c r="D60" s="3" t="s">
        <v>13</v>
      </c>
      <c r="E60" s="3" t="s">
        <v>14</v>
      </c>
      <c r="F60" s="3">
        <v>110.0</v>
      </c>
      <c r="G60" s="4" t="s">
        <v>17</v>
      </c>
      <c r="H60" s="3">
        <v>39.82556887104208</v>
      </c>
      <c r="I60" s="3"/>
      <c r="J60" s="5"/>
    </row>
    <row r="61" ht="14.25" customHeight="1">
      <c r="A61" s="3" t="s">
        <v>24</v>
      </c>
      <c r="B61" s="3" t="s">
        <v>11</v>
      </c>
      <c r="C61" s="3" t="s">
        <v>27</v>
      </c>
      <c r="D61" s="3" t="s">
        <v>13</v>
      </c>
      <c r="E61" s="3" t="s">
        <v>14</v>
      </c>
      <c r="F61" s="3">
        <v>110.0</v>
      </c>
      <c r="G61" s="4" t="s">
        <v>18</v>
      </c>
      <c r="H61" s="3">
        <v>36.24240959622594</v>
      </c>
      <c r="I61" s="3"/>
      <c r="J61" s="5"/>
    </row>
    <row r="62" ht="14.25" customHeight="1">
      <c r="A62" s="3" t="s">
        <v>24</v>
      </c>
      <c r="B62" s="3" t="s">
        <v>11</v>
      </c>
      <c r="C62" s="3" t="s">
        <v>27</v>
      </c>
      <c r="D62" s="3" t="s">
        <v>13</v>
      </c>
      <c r="E62" s="3" t="s">
        <v>14</v>
      </c>
      <c r="F62" s="3">
        <v>110.0</v>
      </c>
      <c r="G62" s="4" t="s">
        <v>19</v>
      </c>
      <c r="H62" s="3">
        <v>39.703805089102374</v>
      </c>
      <c r="I62" s="3"/>
      <c r="J62" s="5"/>
    </row>
    <row r="63" ht="14.25" customHeight="1">
      <c r="A63" s="3" t="s">
        <v>24</v>
      </c>
      <c r="B63" s="3" t="s">
        <v>11</v>
      </c>
      <c r="C63" s="3" t="s">
        <v>27</v>
      </c>
      <c r="D63" s="3" t="s">
        <v>13</v>
      </c>
      <c r="E63" s="3" t="s">
        <v>14</v>
      </c>
      <c r="F63" s="3">
        <v>110.0</v>
      </c>
      <c r="G63" s="4" t="s">
        <v>20</v>
      </c>
      <c r="H63" s="3">
        <v>43.0375316001161</v>
      </c>
      <c r="I63" s="3"/>
      <c r="J63" s="5"/>
    </row>
    <row r="64" ht="14.25" customHeight="1">
      <c r="A64" s="3" t="s">
        <v>24</v>
      </c>
      <c r="B64" s="3" t="s">
        <v>11</v>
      </c>
      <c r="C64" s="3" t="s">
        <v>27</v>
      </c>
      <c r="D64" s="3" t="s">
        <v>13</v>
      </c>
      <c r="E64" s="3" t="s">
        <v>14</v>
      </c>
      <c r="F64" s="3">
        <v>110.0</v>
      </c>
      <c r="G64" s="4" t="s">
        <v>21</v>
      </c>
      <c r="H64" s="3">
        <v>40.828352040196634</v>
      </c>
      <c r="I64" s="3"/>
      <c r="J64" s="5"/>
    </row>
    <row r="65" ht="14.25" customHeight="1">
      <c r="A65" s="3" t="s">
        <v>24</v>
      </c>
      <c r="B65" s="3" t="s">
        <v>11</v>
      </c>
      <c r="C65" s="3" t="s">
        <v>27</v>
      </c>
      <c r="D65" s="3" t="s">
        <v>13</v>
      </c>
      <c r="E65" s="3" t="s">
        <v>14</v>
      </c>
      <c r="F65" s="3">
        <v>110.0</v>
      </c>
      <c r="G65" s="4" t="s">
        <v>22</v>
      </c>
      <c r="H65" s="3">
        <v>43.3005491891883</v>
      </c>
      <c r="I65" s="3"/>
      <c r="J65" s="5"/>
    </row>
    <row r="66" ht="14.25" customHeight="1">
      <c r="A66" s="3" t="s">
        <v>25</v>
      </c>
      <c r="B66" s="3" t="s">
        <v>11</v>
      </c>
      <c r="C66" s="3" t="s">
        <v>27</v>
      </c>
      <c r="D66" s="3" t="s">
        <v>13</v>
      </c>
      <c r="E66" s="3" t="s">
        <v>14</v>
      </c>
      <c r="F66" s="3">
        <v>110.0</v>
      </c>
      <c r="G66" s="4" t="s">
        <v>15</v>
      </c>
      <c r="H66" s="3">
        <v>62.55604380220769</v>
      </c>
      <c r="I66" s="3"/>
      <c r="J66" s="5"/>
    </row>
    <row r="67" ht="14.25" customHeight="1">
      <c r="A67" s="3" t="s">
        <v>25</v>
      </c>
      <c r="B67" s="3" t="s">
        <v>11</v>
      </c>
      <c r="C67" s="3" t="s">
        <v>27</v>
      </c>
      <c r="D67" s="3" t="s">
        <v>13</v>
      </c>
      <c r="E67" s="3" t="s">
        <v>14</v>
      </c>
      <c r="F67" s="3">
        <v>110.0</v>
      </c>
      <c r="G67" s="4" t="s">
        <v>16</v>
      </c>
      <c r="H67" s="3">
        <v>62.6943829680668</v>
      </c>
      <c r="I67" s="3"/>
      <c r="J67" s="5"/>
    </row>
    <row r="68" ht="14.25" customHeight="1">
      <c r="A68" s="3" t="s">
        <v>25</v>
      </c>
      <c r="B68" s="3" t="s">
        <v>11</v>
      </c>
      <c r="C68" s="3" t="s">
        <v>27</v>
      </c>
      <c r="D68" s="3" t="s">
        <v>13</v>
      </c>
      <c r="E68" s="3" t="s">
        <v>14</v>
      </c>
      <c r="F68" s="3">
        <v>110.0</v>
      </c>
      <c r="G68" s="4" t="s">
        <v>17</v>
      </c>
      <c r="H68" s="3">
        <v>79.75163255778558</v>
      </c>
      <c r="I68" s="3"/>
      <c r="J68" s="5"/>
    </row>
    <row r="69" ht="14.25" customHeight="1">
      <c r="A69" s="3" t="s">
        <v>25</v>
      </c>
      <c r="B69" s="3" t="s">
        <v>11</v>
      </c>
      <c r="C69" s="3" t="s">
        <v>27</v>
      </c>
      <c r="D69" s="3" t="s">
        <v>13</v>
      </c>
      <c r="E69" s="3" t="s">
        <v>14</v>
      </c>
      <c r="F69" s="3">
        <v>110.0</v>
      </c>
      <c r="G69" s="4" t="s">
        <v>18</v>
      </c>
      <c r="H69" s="3">
        <v>92.54011499540137</v>
      </c>
      <c r="I69" s="3"/>
      <c r="J69" s="5"/>
    </row>
    <row r="70" ht="14.25" customHeight="1">
      <c r="A70" s="3" t="s">
        <v>25</v>
      </c>
      <c r="B70" s="3" t="s">
        <v>11</v>
      </c>
      <c r="C70" s="3" t="s">
        <v>27</v>
      </c>
      <c r="D70" s="3" t="s">
        <v>13</v>
      </c>
      <c r="E70" s="3" t="s">
        <v>14</v>
      </c>
      <c r="F70" s="3">
        <v>110.0</v>
      </c>
      <c r="G70" s="4" t="s">
        <v>19</v>
      </c>
      <c r="H70" s="3">
        <v>92.77756042683356</v>
      </c>
      <c r="I70" s="3"/>
      <c r="J70" s="5"/>
    </row>
    <row r="71" ht="14.25" customHeight="1">
      <c r="A71" s="3" t="s">
        <v>25</v>
      </c>
      <c r="B71" s="3" t="s">
        <v>11</v>
      </c>
      <c r="C71" s="3" t="s">
        <v>27</v>
      </c>
      <c r="D71" s="3" t="s">
        <v>13</v>
      </c>
      <c r="E71" s="3" t="s">
        <v>14</v>
      </c>
      <c r="F71" s="3">
        <v>110.0</v>
      </c>
      <c r="G71" s="4" t="s">
        <v>20</v>
      </c>
      <c r="H71" s="3">
        <v>106.28161152854243</v>
      </c>
      <c r="I71" s="3"/>
      <c r="J71" s="5"/>
    </row>
    <row r="72" ht="14.25" customHeight="1">
      <c r="A72" s="3" t="s">
        <v>25</v>
      </c>
      <c r="B72" s="3" t="s">
        <v>11</v>
      </c>
      <c r="C72" s="3" t="s">
        <v>27</v>
      </c>
      <c r="D72" s="3" t="s">
        <v>13</v>
      </c>
      <c r="E72" s="3" t="s">
        <v>14</v>
      </c>
      <c r="F72" s="3">
        <v>110.0</v>
      </c>
      <c r="G72" s="4" t="s">
        <v>21</v>
      </c>
      <c r="H72" s="3">
        <v>110.31844036388254</v>
      </c>
      <c r="I72" s="3"/>
      <c r="J72" s="5"/>
    </row>
    <row r="73" ht="14.25" customHeight="1">
      <c r="A73" s="3" t="s">
        <v>25</v>
      </c>
      <c r="B73" s="3" t="s">
        <v>11</v>
      </c>
      <c r="C73" s="3" t="s">
        <v>27</v>
      </c>
      <c r="D73" s="3" t="s">
        <v>13</v>
      </c>
      <c r="E73" s="3" t="s">
        <v>14</v>
      </c>
      <c r="F73" s="3">
        <v>110.0</v>
      </c>
      <c r="G73" s="4" t="s">
        <v>22</v>
      </c>
      <c r="H73" s="3">
        <v>109.40534676205446</v>
      </c>
      <c r="I73" s="3"/>
      <c r="J73" s="5"/>
    </row>
    <row r="74" ht="14.25" customHeight="1">
      <c r="A74" s="3" t="s">
        <v>26</v>
      </c>
      <c r="B74" s="3" t="s">
        <v>11</v>
      </c>
      <c r="C74" s="3" t="s">
        <v>27</v>
      </c>
      <c r="D74" s="3" t="s">
        <v>13</v>
      </c>
      <c r="E74" s="3" t="s">
        <v>14</v>
      </c>
      <c r="F74" s="3">
        <v>110.0</v>
      </c>
      <c r="G74" s="4" t="s">
        <v>15</v>
      </c>
      <c r="H74" s="3">
        <v>73.55488641377482</v>
      </c>
      <c r="I74" s="3"/>
      <c r="J74" s="5"/>
    </row>
    <row r="75" ht="14.25" customHeight="1">
      <c r="A75" s="3" t="s">
        <v>26</v>
      </c>
      <c r="B75" s="3" t="s">
        <v>11</v>
      </c>
      <c r="C75" s="3" t="s">
        <v>27</v>
      </c>
      <c r="D75" s="3" t="s">
        <v>13</v>
      </c>
      <c r="E75" s="3" t="s">
        <v>14</v>
      </c>
      <c r="F75" s="3">
        <v>110.0</v>
      </c>
      <c r="G75" s="4" t="s">
        <v>16</v>
      </c>
      <c r="H75" s="3">
        <v>75.45769290434266</v>
      </c>
      <c r="I75" s="3"/>
      <c r="J75" s="5"/>
    </row>
    <row r="76" ht="14.25" customHeight="1">
      <c r="A76" s="3" t="s">
        <v>26</v>
      </c>
      <c r="B76" s="3" t="s">
        <v>11</v>
      </c>
      <c r="C76" s="3" t="s">
        <v>27</v>
      </c>
      <c r="D76" s="3" t="s">
        <v>13</v>
      </c>
      <c r="E76" s="3" t="s">
        <v>14</v>
      </c>
      <c r="F76" s="3">
        <v>110.0</v>
      </c>
      <c r="G76" s="4" t="s">
        <v>17</v>
      </c>
      <c r="H76" s="3">
        <v>78.96151768795059</v>
      </c>
      <c r="I76" s="3"/>
      <c r="J76" s="5"/>
    </row>
    <row r="77" ht="14.25" customHeight="1">
      <c r="A77" s="3" t="s">
        <v>26</v>
      </c>
      <c r="B77" s="3" t="s">
        <v>11</v>
      </c>
      <c r="C77" s="3" t="s">
        <v>27</v>
      </c>
      <c r="D77" s="3" t="s">
        <v>13</v>
      </c>
      <c r="E77" s="3" t="s">
        <v>14</v>
      </c>
      <c r="F77" s="3">
        <v>110.0</v>
      </c>
      <c r="G77" s="4" t="s">
        <v>18</v>
      </c>
      <c r="H77" s="3">
        <v>88.50466888316498</v>
      </c>
      <c r="I77" s="3"/>
      <c r="J77" s="5"/>
    </row>
    <row r="78" ht="14.25" customHeight="1">
      <c r="A78" s="3" t="s">
        <v>26</v>
      </c>
      <c r="B78" s="3" t="s">
        <v>11</v>
      </c>
      <c r="C78" s="3" t="s">
        <v>27</v>
      </c>
      <c r="D78" s="3" t="s">
        <v>13</v>
      </c>
      <c r="E78" s="3" t="s">
        <v>14</v>
      </c>
      <c r="F78" s="3">
        <v>110.0</v>
      </c>
      <c r="G78" s="4" t="s">
        <v>19</v>
      </c>
      <c r="H78" s="3">
        <v>92.15100067602502</v>
      </c>
      <c r="I78" s="3"/>
      <c r="J78" s="5"/>
    </row>
    <row r="79" ht="14.25" customHeight="1">
      <c r="A79" s="3" t="s">
        <v>26</v>
      </c>
      <c r="B79" s="3" t="s">
        <v>11</v>
      </c>
      <c r="C79" s="3" t="s">
        <v>27</v>
      </c>
      <c r="D79" s="3" t="s">
        <v>13</v>
      </c>
      <c r="E79" s="3" t="s">
        <v>14</v>
      </c>
      <c r="F79" s="3">
        <v>110.0</v>
      </c>
      <c r="G79" s="4" t="s">
        <v>20</v>
      </c>
      <c r="H79" s="3">
        <v>100.72345401047306</v>
      </c>
      <c r="I79" s="3"/>
      <c r="J79" s="5"/>
    </row>
    <row r="80" ht="14.25" customHeight="1">
      <c r="A80" s="3" t="s">
        <v>26</v>
      </c>
      <c r="B80" s="3" t="s">
        <v>11</v>
      </c>
      <c r="C80" s="3" t="s">
        <v>27</v>
      </c>
      <c r="D80" s="3" t="s">
        <v>13</v>
      </c>
      <c r="E80" s="3" t="s">
        <v>14</v>
      </c>
      <c r="F80" s="3">
        <v>110.0</v>
      </c>
      <c r="G80" s="4" t="s">
        <v>21</v>
      </c>
      <c r="H80" s="3">
        <v>104.78969604366415</v>
      </c>
      <c r="I80" s="3"/>
      <c r="J80" s="5"/>
    </row>
    <row r="81" ht="14.25" customHeight="1">
      <c r="A81" s="3" t="s">
        <v>26</v>
      </c>
      <c r="B81" s="3" t="s">
        <v>11</v>
      </c>
      <c r="C81" s="3" t="s">
        <v>27</v>
      </c>
      <c r="D81" s="3" t="s">
        <v>13</v>
      </c>
      <c r="E81" s="3" t="s">
        <v>14</v>
      </c>
      <c r="F81" s="3">
        <v>110.0</v>
      </c>
      <c r="G81" s="4" t="s">
        <v>22</v>
      </c>
      <c r="H81" s="3">
        <v>101.2976459336031</v>
      </c>
      <c r="I81" s="3"/>
      <c r="J81" s="5"/>
    </row>
    <row r="82" ht="14.25" customHeight="1">
      <c r="A82" s="3" t="s">
        <v>10</v>
      </c>
      <c r="B82" s="3" t="s">
        <v>11</v>
      </c>
      <c r="C82" s="3" t="s">
        <v>12</v>
      </c>
      <c r="D82" s="3" t="s">
        <v>13</v>
      </c>
      <c r="E82" s="3" t="s">
        <v>14</v>
      </c>
      <c r="F82" s="3">
        <v>180.0</v>
      </c>
      <c r="G82" s="4" t="s">
        <v>15</v>
      </c>
      <c r="H82" s="3">
        <v>30.518792121243052</v>
      </c>
      <c r="I82" s="3"/>
      <c r="J82" s="5"/>
    </row>
    <row r="83" ht="14.25" customHeight="1">
      <c r="A83" s="3" t="s">
        <v>10</v>
      </c>
      <c r="B83" s="3" t="s">
        <v>11</v>
      </c>
      <c r="C83" s="3" t="s">
        <v>12</v>
      </c>
      <c r="D83" s="3" t="s">
        <v>13</v>
      </c>
      <c r="E83" s="3" t="s">
        <v>14</v>
      </c>
      <c r="F83" s="3">
        <v>180.0</v>
      </c>
      <c r="G83" s="4" t="s">
        <v>16</v>
      </c>
      <c r="H83" s="3">
        <v>28.952910970075266</v>
      </c>
      <c r="I83" s="3"/>
      <c r="J83" s="5"/>
    </row>
    <row r="84" ht="14.25" customHeight="1">
      <c r="A84" s="3" t="s">
        <v>10</v>
      </c>
      <c r="B84" s="3" t="s">
        <v>11</v>
      </c>
      <c r="C84" s="3" t="s">
        <v>12</v>
      </c>
      <c r="D84" s="3" t="s">
        <v>13</v>
      </c>
      <c r="E84" s="3" t="s">
        <v>14</v>
      </c>
      <c r="F84" s="3">
        <v>180.0</v>
      </c>
      <c r="G84" s="4" t="s">
        <v>17</v>
      </c>
      <c r="H84" s="3">
        <v>28.754446789377624</v>
      </c>
      <c r="I84" s="3"/>
      <c r="J84" s="5"/>
    </row>
    <row r="85" ht="14.25" customHeight="1">
      <c r="A85" s="3" t="s">
        <v>10</v>
      </c>
      <c r="B85" s="3" t="s">
        <v>11</v>
      </c>
      <c r="C85" s="3" t="s">
        <v>12</v>
      </c>
      <c r="D85" s="3" t="s">
        <v>13</v>
      </c>
      <c r="E85" s="3" t="s">
        <v>14</v>
      </c>
      <c r="F85" s="3">
        <v>180.0</v>
      </c>
      <c r="G85" s="4" t="s">
        <v>18</v>
      </c>
      <c r="H85" s="3">
        <v>22.700962338155506</v>
      </c>
      <c r="I85" s="3"/>
      <c r="J85" s="5"/>
    </row>
    <row r="86" ht="14.25" customHeight="1">
      <c r="A86" s="3" t="s">
        <v>10</v>
      </c>
      <c r="B86" s="3" t="s">
        <v>11</v>
      </c>
      <c r="C86" s="3" t="s">
        <v>12</v>
      </c>
      <c r="D86" s="3" t="s">
        <v>13</v>
      </c>
      <c r="E86" s="3" t="s">
        <v>14</v>
      </c>
      <c r="F86" s="3">
        <v>180.0</v>
      </c>
      <c r="G86" s="4" t="s">
        <v>19</v>
      </c>
      <c r="H86" s="3">
        <v>23.10016780376094</v>
      </c>
      <c r="I86" s="3"/>
      <c r="J86" s="5"/>
    </row>
    <row r="87" ht="14.25" customHeight="1">
      <c r="A87" s="3" t="s">
        <v>10</v>
      </c>
      <c r="B87" s="3" t="s">
        <v>11</v>
      </c>
      <c r="C87" s="3" t="s">
        <v>12</v>
      </c>
      <c r="D87" s="3" t="s">
        <v>13</v>
      </c>
      <c r="E87" s="3" t="s">
        <v>14</v>
      </c>
      <c r="F87" s="3">
        <v>180.0</v>
      </c>
      <c r="G87" s="4" t="s">
        <v>20</v>
      </c>
      <c r="H87" s="3">
        <v>21.86824661471306</v>
      </c>
      <c r="I87" s="3"/>
      <c r="J87" s="5"/>
    </row>
    <row r="88" ht="14.25" customHeight="1">
      <c r="A88" s="3" t="s">
        <v>10</v>
      </c>
      <c r="B88" s="3" t="s">
        <v>11</v>
      </c>
      <c r="C88" s="3" t="s">
        <v>12</v>
      </c>
      <c r="D88" s="3" t="s">
        <v>13</v>
      </c>
      <c r="E88" s="3" t="s">
        <v>14</v>
      </c>
      <c r="F88" s="3">
        <v>180.0</v>
      </c>
      <c r="G88" s="4" t="s">
        <v>21</v>
      </c>
      <c r="H88" s="3">
        <v>23.21088044999351</v>
      </c>
      <c r="I88" s="3"/>
      <c r="J88" s="5"/>
    </row>
    <row r="89" ht="14.25" customHeight="1">
      <c r="A89" s="3" t="s">
        <v>10</v>
      </c>
      <c r="B89" s="3" t="s">
        <v>11</v>
      </c>
      <c r="C89" s="3" t="s">
        <v>12</v>
      </c>
      <c r="D89" s="3" t="s">
        <v>13</v>
      </c>
      <c r="E89" s="3" t="s">
        <v>14</v>
      </c>
      <c r="F89" s="3">
        <v>180.0</v>
      </c>
      <c r="G89" s="4" t="s">
        <v>22</v>
      </c>
      <c r="H89" s="3">
        <v>19.98428633922603</v>
      </c>
      <c r="I89" s="3"/>
      <c r="J89" s="5"/>
    </row>
    <row r="90" ht="14.25" customHeight="1">
      <c r="A90" s="3" t="s">
        <v>23</v>
      </c>
      <c r="B90" s="3" t="s">
        <v>11</v>
      </c>
      <c r="C90" s="3" t="s">
        <v>12</v>
      </c>
      <c r="D90" s="3" t="s">
        <v>13</v>
      </c>
      <c r="E90" s="3" t="s">
        <v>14</v>
      </c>
      <c r="F90" s="3">
        <v>180.0</v>
      </c>
      <c r="G90" s="4" t="s">
        <v>15</v>
      </c>
      <c r="H90" s="3">
        <v>217.8930772498781</v>
      </c>
      <c r="I90" s="3"/>
      <c r="J90" s="5"/>
    </row>
    <row r="91" ht="14.25" customHeight="1">
      <c r="A91" s="3" t="s">
        <v>23</v>
      </c>
      <c r="B91" s="3" t="s">
        <v>11</v>
      </c>
      <c r="C91" s="3" t="s">
        <v>12</v>
      </c>
      <c r="D91" s="3" t="s">
        <v>13</v>
      </c>
      <c r="E91" s="3" t="s">
        <v>14</v>
      </c>
      <c r="F91" s="3">
        <v>180.0</v>
      </c>
      <c r="G91" s="4" t="s">
        <v>16</v>
      </c>
      <c r="H91" s="3">
        <v>216.08469824625004</v>
      </c>
      <c r="I91" s="3"/>
      <c r="J91" s="5"/>
    </row>
    <row r="92" ht="14.25" customHeight="1">
      <c r="A92" s="3" t="s">
        <v>23</v>
      </c>
      <c r="B92" s="3" t="s">
        <v>11</v>
      </c>
      <c r="C92" s="3" t="s">
        <v>12</v>
      </c>
      <c r="D92" s="3" t="s">
        <v>13</v>
      </c>
      <c r="E92" s="3" t="s">
        <v>14</v>
      </c>
      <c r="F92" s="3">
        <v>180.0</v>
      </c>
      <c r="G92" s="4" t="s">
        <v>17</v>
      </c>
      <c r="H92" s="3">
        <v>222.80675811473697</v>
      </c>
      <c r="I92" s="3"/>
      <c r="J92" s="5"/>
    </row>
    <row r="93" ht="14.25" customHeight="1">
      <c r="A93" s="3" t="s">
        <v>23</v>
      </c>
      <c r="B93" s="3" t="s">
        <v>11</v>
      </c>
      <c r="C93" s="3" t="s">
        <v>12</v>
      </c>
      <c r="D93" s="3" t="s">
        <v>13</v>
      </c>
      <c r="E93" s="3" t="s">
        <v>14</v>
      </c>
      <c r="F93" s="3">
        <v>180.0</v>
      </c>
      <c r="G93" s="4" t="s">
        <v>18</v>
      </c>
      <c r="H93" s="3">
        <v>207.912401861363</v>
      </c>
      <c r="I93" s="3"/>
      <c r="J93" s="5"/>
    </row>
    <row r="94" ht="14.25" customHeight="1">
      <c r="A94" s="3" t="s">
        <v>23</v>
      </c>
      <c r="B94" s="3" t="s">
        <v>11</v>
      </c>
      <c r="C94" s="3" t="s">
        <v>12</v>
      </c>
      <c r="D94" s="3" t="s">
        <v>13</v>
      </c>
      <c r="E94" s="3" t="s">
        <v>14</v>
      </c>
      <c r="F94" s="3">
        <v>180.0</v>
      </c>
      <c r="G94" s="4" t="s">
        <v>19</v>
      </c>
      <c r="H94" s="3">
        <v>196.75746973132954</v>
      </c>
      <c r="I94" s="3"/>
      <c r="J94" s="5"/>
    </row>
    <row r="95" ht="14.25" customHeight="1">
      <c r="A95" s="3" t="s">
        <v>23</v>
      </c>
      <c r="B95" s="3" t="s">
        <v>11</v>
      </c>
      <c r="C95" s="3" t="s">
        <v>12</v>
      </c>
      <c r="D95" s="3" t="s">
        <v>13</v>
      </c>
      <c r="E95" s="3" t="s">
        <v>14</v>
      </c>
      <c r="F95" s="3">
        <v>180.0</v>
      </c>
      <c r="G95" s="4" t="s">
        <v>20</v>
      </c>
      <c r="H95" s="3">
        <v>184.13649762464536</v>
      </c>
      <c r="I95" s="3"/>
      <c r="J95" s="5"/>
    </row>
    <row r="96" ht="14.25" customHeight="1">
      <c r="A96" s="3" t="s">
        <v>23</v>
      </c>
      <c r="B96" s="3" t="s">
        <v>11</v>
      </c>
      <c r="C96" s="3" t="s">
        <v>12</v>
      </c>
      <c r="D96" s="3" t="s">
        <v>13</v>
      </c>
      <c r="E96" s="3" t="s">
        <v>14</v>
      </c>
      <c r="F96" s="3">
        <v>180.0</v>
      </c>
      <c r="G96" s="4" t="s">
        <v>21</v>
      </c>
      <c r="H96" s="3">
        <v>169.75179941066799</v>
      </c>
      <c r="I96" s="3"/>
      <c r="J96" s="5"/>
    </row>
    <row r="97" ht="14.25" customHeight="1">
      <c r="A97" s="3" t="s">
        <v>23</v>
      </c>
      <c r="B97" s="3" t="s">
        <v>11</v>
      </c>
      <c r="C97" s="3" t="s">
        <v>12</v>
      </c>
      <c r="D97" s="3" t="s">
        <v>13</v>
      </c>
      <c r="E97" s="3" t="s">
        <v>14</v>
      </c>
      <c r="F97" s="3">
        <v>180.0</v>
      </c>
      <c r="G97" s="4" t="s">
        <v>22</v>
      </c>
      <c r="H97" s="3">
        <v>151.05042348764428</v>
      </c>
      <c r="I97" s="3"/>
      <c r="J97" s="5"/>
    </row>
    <row r="98" ht="14.25" customHeight="1">
      <c r="A98" s="3" t="s">
        <v>24</v>
      </c>
      <c r="B98" s="3" t="s">
        <v>11</v>
      </c>
      <c r="C98" s="3" t="s">
        <v>12</v>
      </c>
      <c r="D98" s="3" t="s">
        <v>13</v>
      </c>
      <c r="E98" s="3" t="s">
        <v>14</v>
      </c>
      <c r="F98" s="3">
        <v>180.0</v>
      </c>
      <c r="G98" s="4" t="s">
        <v>15</v>
      </c>
      <c r="H98" s="3">
        <v>67.38401937089802</v>
      </c>
      <c r="I98" s="3"/>
      <c r="J98" s="5"/>
    </row>
    <row r="99" ht="14.25" customHeight="1">
      <c r="A99" s="3" t="s">
        <v>24</v>
      </c>
      <c r="B99" s="3" t="s">
        <v>11</v>
      </c>
      <c r="C99" s="3" t="s">
        <v>12</v>
      </c>
      <c r="D99" s="3" t="s">
        <v>13</v>
      </c>
      <c r="E99" s="3" t="s">
        <v>14</v>
      </c>
      <c r="F99" s="3">
        <v>180.0</v>
      </c>
      <c r="G99" s="4" t="s">
        <v>16</v>
      </c>
      <c r="H99" s="3">
        <v>75.85972581685333</v>
      </c>
      <c r="I99" s="3"/>
      <c r="J99" s="5"/>
    </row>
    <row r="100" ht="14.25" customHeight="1">
      <c r="A100" s="3" t="s">
        <v>24</v>
      </c>
      <c r="B100" s="3" t="s">
        <v>11</v>
      </c>
      <c r="C100" s="3" t="s">
        <v>12</v>
      </c>
      <c r="D100" s="3" t="s">
        <v>13</v>
      </c>
      <c r="E100" s="3" t="s">
        <v>14</v>
      </c>
      <c r="F100" s="3">
        <v>180.0</v>
      </c>
      <c r="G100" s="4" t="s">
        <v>17</v>
      </c>
      <c r="H100" s="3">
        <v>78.259464011962</v>
      </c>
      <c r="I100" s="3"/>
      <c r="J100" s="5"/>
    </row>
    <row r="101" ht="14.25" customHeight="1">
      <c r="A101" s="3" t="s">
        <v>24</v>
      </c>
      <c r="B101" s="3" t="s">
        <v>11</v>
      </c>
      <c r="C101" s="3" t="s">
        <v>12</v>
      </c>
      <c r="D101" s="3" t="s">
        <v>13</v>
      </c>
      <c r="E101" s="3" t="s">
        <v>14</v>
      </c>
      <c r="F101" s="3">
        <v>180.0</v>
      </c>
      <c r="G101" s="4" t="s">
        <v>18</v>
      </c>
      <c r="H101" s="3">
        <v>61.7294338222989</v>
      </c>
      <c r="I101" s="3"/>
      <c r="J101" s="5"/>
    </row>
    <row r="102" ht="14.25" customHeight="1">
      <c r="A102" s="3" t="s">
        <v>24</v>
      </c>
      <c r="B102" s="3" t="s">
        <v>11</v>
      </c>
      <c r="C102" s="3" t="s">
        <v>12</v>
      </c>
      <c r="D102" s="3" t="s">
        <v>13</v>
      </c>
      <c r="E102" s="3" t="s">
        <v>14</v>
      </c>
      <c r="F102" s="3">
        <v>180.0</v>
      </c>
      <c r="G102" s="4" t="s">
        <v>19</v>
      </c>
      <c r="H102" s="3">
        <v>61.60520304187847</v>
      </c>
      <c r="I102" s="3"/>
      <c r="J102" s="5"/>
    </row>
    <row r="103" ht="14.25" customHeight="1">
      <c r="A103" s="3" t="s">
        <v>24</v>
      </c>
      <c r="B103" s="3" t="s">
        <v>11</v>
      </c>
      <c r="C103" s="3" t="s">
        <v>12</v>
      </c>
      <c r="D103" s="3" t="s">
        <v>13</v>
      </c>
      <c r="E103" s="3" t="s">
        <v>14</v>
      </c>
      <c r="F103" s="3">
        <v>180.0</v>
      </c>
      <c r="G103" s="4" t="s">
        <v>20</v>
      </c>
      <c r="H103" s="3">
        <v>56.013243979951746</v>
      </c>
      <c r="I103" s="3"/>
      <c r="J103" s="5"/>
    </row>
    <row r="104" ht="14.25" customHeight="1">
      <c r="A104" s="3" t="s">
        <v>24</v>
      </c>
      <c r="B104" s="3" t="s">
        <v>11</v>
      </c>
      <c r="C104" s="3" t="s">
        <v>12</v>
      </c>
      <c r="D104" s="3" t="s">
        <v>13</v>
      </c>
      <c r="E104" s="3" t="s">
        <v>14</v>
      </c>
      <c r="F104" s="3">
        <v>180.0</v>
      </c>
      <c r="G104" s="4" t="s">
        <v>21</v>
      </c>
      <c r="H104" s="3">
        <v>51.89182919279098</v>
      </c>
      <c r="I104" s="3"/>
      <c r="J104" s="5"/>
    </row>
    <row r="105" ht="14.25" customHeight="1">
      <c r="A105" s="3" t="s">
        <v>24</v>
      </c>
      <c r="B105" s="3" t="s">
        <v>11</v>
      </c>
      <c r="C105" s="3" t="s">
        <v>12</v>
      </c>
      <c r="D105" s="3" t="s">
        <v>13</v>
      </c>
      <c r="E105" s="3" t="s">
        <v>14</v>
      </c>
      <c r="F105" s="3">
        <v>180.0</v>
      </c>
      <c r="G105" s="4" t="s">
        <v>22</v>
      </c>
      <c r="H105" s="3">
        <v>47.90703727391379</v>
      </c>
      <c r="I105" s="3"/>
      <c r="J105" s="5"/>
    </row>
    <row r="106" ht="14.25" customHeight="1">
      <c r="A106" s="3" t="s">
        <v>25</v>
      </c>
      <c r="B106" s="3" t="s">
        <v>11</v>
      </c>
      <c r="C106" s="3" t="s">
        <v>12</v>
      </c>
      <c r="D106" s="3" t="s">
        <v>13</v>
      </c>
      <c r="E106" s="3" t="s">
        <v>14</v>
      </c>
      <c r="F106" s="3">
        <v>180.0</v>
      </c>
      <c r="G106" s="4" t="s">
        <v>15</v>
      </c>
      <c r="H106" s="3">
        <v>60.56686267391816</v>
      </c>
      <c r="I106" s="3"/>
      <c r="J106" s="5"/>
    </row>
    <row r="107" ht="14.25" customHeight="1">
      <c r="A107" s="3" t="s">
        <v>25</v>
      </c>
      <c r="B107" s="3" t="s">
        <v>11</v>
      </c>
      <c r="C107" s="3" t="s">
        <v>12</v>
      </c>
      <c r="D107" s="3" t="s">
        <v>13</v>
      </c>
      <c r="E107" s="3" t="s">
        <v>14</v>
      </c>
      <c r="F107" s="3">
        <v>180.0</v>
      </c>
      <c r="G107" s="4" t="s">
        <v>16</v>
      </c>
      <c r="H107" s="3">
        <v>53.44294612139609</v>
      </c>
      <c r="I107" s="3"/>
      <c r="J107" s="5"/>
    </row>
    <row r="108" ht="14.25" customHeight="1">
      <c r="A108" s="3" t="s">
        <v>25</v>
      </c>
      <c r="B108" s="3" t="s">
        <v>11</v>
      </c>
      <c r="C108" s="3" t="s">
        <v>12</v>
      </c>
      <c r="D108" s="3" t="s">
        <v>13</v>
      </c>
      <c r="E108" s="3" t="s">
        <v>14</v>
      </c>
      <c r="F108" s="3">
        <v>180.0</v>
      </c>
      <c r="G108" s="4" t="s">
        <v>17</v>
      </c>
      <c r="H108" s="3">
        <v>52.54886473368891</v>
      </c>
      <c r="I108" s="3"/>
      <c r="J108" s="5"/>
    </row>
    <row r="109" ht="14.25" customHeight="1">
      <c r="A109" s="3" t="s">
        <v>25</v>
      </c>
      <c r="B109" s="3" t="s">
        <v>11</v>
      </c>
      <c r="C109" s="3" t="s">
        <v>12</v>
      </c>
      <c r="D109" s="3" t="s">
        <v>13</v>
      </c>
      <c r="E109" s="3" t="s">
        <v>14</v>
      </c>
      <c r="F109" s="3">
        <v>180.0</v>
      </c>
      <c r="G109" s="4" t="s">
        <v>18</v>
      </c>
      <c r="H109" s="3">
        <v>52.30891375580454</v>
      </c>
      <c r="I109" s="3"/>
      <c r="J109" s="5"/>
    </row>
    <row r="110" ht="14.25" customHeight="1">
      <c r="A110" s="3" t="s">
        <v>25</v>
      </c>
      <c r="B110" s="3" t="s">
        <v>11</v>
      </c>
      <c r="C110" s="3" t="s">
        <v>12</v>
      </c>
      <c r="D110" s="3" t="s">
        <v>13</v>
      </c>
      <c r="E110" s="3" t="s">
        <v>14</v>
      </c>
      <c r="F110" s="3">
        <v>180.0</v>
      </c>
      <c r="G110" s="4" t="s">
        <v>19</v>
      </c>
      <c r="H110" s="3">
        <v>48.28658098653838</v>
      </c>
      <c r="I110" s="3"/>
      <c r="J110" s="5"/>
    </row>
    <row r="111" ht="14.25" customHeight="1">
      <c r="A111" s="3" t="s">
        <v>25</v>
      </c>
      <c r="B111" s="3" t="s">
        <v>11</v>
      </c>
      <c r="C111" s="3" t="s">
        <v>12</v>
      </c>
      <c r="D111" s="3" t="s">
        <v>13</v>
      </c>
      <c r="E111" s="3" t="s">
        <v>14</v>
      </c>
      <c r="F111" s="3">
        <v>180.0</v>
      </c>
      <c r="G111" s="4" t="s">
        <v>20</v>
      </c>
      <c r="H111" s="3">
        <v>45.38616388897841</v>
      </c>
      <c r="I111" s="3"/>
      <c r="J111" s="5"/>
    </row>
    <row r="112" ht="14.25" customHeight="1">
      <c r="A112" s="3" t="s">
        <v>25</v>
      </c>
      <c r="B112" s="3" t="s">
        <v>11</v>
      </c>
      <c r="C112" s="3" t="s">
        <v>12</v>
      </c>
      <c r="D112" s="3" t="s">
        <v>13</v>
      </c>
      <c r="E112" s="3" t="s">
        <v>14</v>
      </c>
      <c r="F112" s="3">
        <v>180.0</v>
      </c>
      <c r="G112" s="4" t="s">
        <v>21</v>
      </c>
      <c r="H112" s="3">
        <v>42.23087476125736</v>
      </c>
      <c r="I112" s="3"/>
      <c r="J112" s="5"/>
    </row>
    <row r="113" ht="14.25" customHeight="1">
      <c r="A113" s="3" t="s">
        <v>25</v>
      </c>
      <c r="B113" s="3" t="s">
        <v>11</v>
      </c>
      <c r="C113" s="3" t="s">
        <v>12</v>
      </c>
      <c r="D113" s="3" t="s">
        <v>13</v>
      </c>
      <c r="E113" s="3" t="s">
        <v>14</v>
      </c>
      <c r="F113" s="3">
        <v>180.0</v>
      </c>
      <c r="G113" s="4" t="s">
        <v>22</v>
      </c>
      <c r="H113" s="3">
        <v>33.91264193637678</v>
      </c>
      <c r="I113" s="3"/>
      <c r="J113" s="5"/>
    </row>
    <row r="114" ht="14.25" customHeight="1">
      <c r="A114" s="3" t="s">
        <v>26</v>
      </c>
      <c r="B114" s="3" t="s">
        <v>11</v>
      </c>
      <c r="C114" s="3" t="s">
        <v>12</v>
      </c>
      <c r="D114" s="3" t="s">
        <v>13</v>
      </c>
      <c r="E114" s="3" t="s">
        <v>14</v>
      </c>
      <c r="F114" s="3">
        <v>180.0</v>
      </c>
      <c r="G114" s="4" t="s">
        <v>15</v>
      </c>
      <c r="H114" s="3">
        <v>96.46343430320775</v>
      </c>
      <c r="I114" s="3"/>
      <c r="J114" s="5"/>
    </row>
    <row r="115" ht="14.25" customHeight="1">
      <c r="A115" s="3" t="s">
        <v>26</v>
      </c>
      <c r="B115" s="3" t="s">
        <v>11</v>
      </c>
      <c r="C115" s="3" t="s">
        <v>12</v>
      </c>
      <c r="D115" s="3" t="s">
        <v>13</v>
      </c>
      <c r="E115" s="3" t="s">
        <v>14</v>
      </c>
      <c r="F115" s="3">
        <v>180.0</v>
      </c>
      <c r="G115" s="4" t="s">
        <v>16</v>
      </c>
      <c r="H115" s="3">
        <v>95.28086995841352</v>
      </c>
      <c r="I115" s="3"/>
      <c r="J115" s="5"/>
    </row>
    <row r="116" ht="14.25" customHeight="1">
      <c r="A116" s="3" t="s">
        <v>26</v>
      </c>
      <c r="B116" s="3" t="s">
        <v>11</v>
      </c>
      <c r="C116" s="3" t="s">
        <v>12</v>
      </c>
      <c r="D116" s="3" t="s">
        <v>13</v>
      </c>
      <c r="E116" s="3" t="s">
        <v>14</v>
      </c>
      <c r="F116" s="3">
        <v>180.0</v>
      </c>
      <c r="G116" s="4" t="s">
        <v>17</v>
      </c>
      <c r="H116" s="3">
        <v>99.20843765894794</v>
      </c>
      <c r="I116" s="3"/>
      <c r="J116" s="5"/>
    </row>
    <row r="117" ht="14.25" customHeight="1">
      <c r="A117" s="3" t="s">
        <v>26</v>
      </c>
      <c r="B117" s="3" t="s">
        <v>11</v>
      </c>
      <c r="C117" s="3" t="s">
        <v>12</v>
      </c>
      <c r="D117" s="3" t="s">
        <v>13</v>
      </c>
      <c r="E117" s="3" t="s">
        <v>14</v>
      </c>
      <c r="F117" s="3">
        <v>180.0</v>
      </c>
      <c r="G117" s="4" t="s">
        <v>18</v>
      </c>
      <c r="H117" s="3">
        <v>95.86963120902792</v>
      </c>
      <c r="I117" s="3"/>
      <c r="J117" s="5"/>
    </row>
    <row r="118" ht="14.25" customHeight="1">
      <c r="A118" s="3" t="s">
        <v>26</v>
      </c>
      <c r="B118" s="3" t="s">
        <v>11</v>
      </c>
      <c r="C118" s="3" t="s">
        <v>12</v>
      </c>
      <c r="D118" s="3" t="s">
        <v>13</v>
      </c>
      <c r="E118" s="3" t="s">
        <v>14</v>
      </c>
      <c r="F118" s="3">
        <v>180.0</v>
      </c>
      <c r="G118" s="4" t="s">
        <v>19</v>
      </c>
      <c r="H118" s="3">
        <v>88.84724095839007</v>
      </c>
      <c r="I118" s="3"/>
      <c r="J118" s="5"/>
    </row>
    <row r="119" ht="14.25" customHeight="1">
      <c r="A119" s="3" t="s">
        <v>26</v>
      </c>
      <c r="B119" s="3" t="s">
        <v>11</v>
      </c>
      <c r="C119" s="3" t="s">
        <v>12</v>
      </c>
      <c r="D119" s="3" t="s">
        <v>13</v>
      </c>
      <c r="E119" s="3" t="s">
        <v>14</v>
      </c>
      <c r="F119" s="3">
        <v>180.0</v>
      </c>
      <c r="G119" s="4" t="s">
        <v>20</v>
      </c>
      <c r="H119" s="3">
        <v>84.03499991610066</v>
      </c>
      <c r="I119" s="3"/>
      <c r="J119" s="5"/>
    </row>
    <row r="120" ht="14.25" customHeight="1">
      <c r="A120" s="3" t="s">
        <v>26</v>
      </c>
      <c r="B120" s="3" t="s">
        <v>11</v>
      </c>
      <c r="C120" s="3" t="s">
        <v>12</v>
      </c>
      <c r="D120" s="3" t="s">
        <v>13</v>
      </c>
      <c r="E120" s="3" t="s">
        <v>14</v>
      </c>
      <c r="F120" s="3">
        <v>180.0</v>
      </c>
      <c r="G120" s="4" t="s">
        <v>21</v>
      </c>
      <c r="H120" s="3">
        <v>76.46031543854667</v>
      </c>
      <c r="I120" s="3"/>
      <c r="J120" s="5"/>
    </row>
    <row r="121" ht="14.25" customHeight="1">
      <c r="A121" s="3" t="s">
        <v>26</v>
      </c>
      <c r="B121" s="3" t="s">
        <v>11</v>
      </c>
      <c r="C121" s="3" t="s">
        <v>12</v>
      </c>
      <c r="D121" s="3" t="s">
        <v>13</v>
      </c>
      <c r="E121" s="3" t="s">
        <v>14</v>
      </c>
      <c r="F121" s="3">
        <v>180.0</v>
      </c>
      <c r="G121" s="4" t="s">
        <v>22</v>
      </c>
      <c r="H121" s="3">
        <v>70.28711487875375</v>
      </c>
      <c r="I121" s="3"/>
      <c r="J121" s="5"/>
    </row>
    <row r="122" ht="14.25" customHeight="1">
      <c r="A122" s="3" t="s">
        <v>10</v>
      </c>
      <c r="B122" s="3" t="s">
        <v>11</v>
      </c>
      <c r="C122" s="3" t="s">
        <v>27</v>
      </c>
      <c r="D122" s="3" t="s">
        <v>13</v>
      </c>
      <c r="E122" s="3" t="s">
        <v>14</v>
      </c>
      <c r="F122" s="3">
        <v>180.0</v>
      </c>
      <c r="G122" s="4" t="s">
        <v>15</v>
      </c>
      <c r="H122" s="3">
        <v>73.99075482123288</v>
      </c>
      <c r="I122" s="3"/>
      <c r="J122" s="5"/>
    </row>
    <row r="123" ht="14.25" customHeight="1">
      <c r="A123" s="3" t="s">
        <v>10</v>
      </c>
      <c r="B123" s="3" t="s">
        <v>11</v>
      </c>
      <c r="C123" s="3" t="s">
        <v>27</v>
      </c>
      <c r="D123" s="3" t="s">
        <v>13</v>
      </c>
      <c r="E123" s="3" t="s">
        <v>14</v>
      </c>
      <c r="F123" s="3">
        <v>180.0</v>
      </c>
      <c r="G123" s="4" t="s">
        <v>16</v>
      </c>
      <c r="H123" s="3">
        <v>69.2968548916902</v>
      </c>
      <c r="I123" s="3"/>
      <c r="J123" s="5"/>
    </row>
    <row r="124" ht="14.25" customHeight="1">
      <c r="A124" s="3" t="s">
        <v>10</v>
      </c>
      <c r="B124" s="3" t="s">
        <v>11</v>
      </c>
      <c r="C124" s="3" t="s">
        <v>27</v>
      </c>
      <c r="D124" s="3" t="s">
        <v>13</v>
      </c>
      <c r="E124" s="3" t="s">
        <v>14</v>
      </c>
      <c r="F124" s="3">
        <v>180.0</v>
      </c>
      <c r="G124" s="4" t="s">
        <v>17</v>
      </c>
      <c r="H124" s="3">
        <v>70.13207016546579</v>
      </c>
      <c r="I124" s="3"/>
      <c r="J124" s="5"/>
    </row>
    <row r="125" ht="14.25" customHeight="1">
      <c r="A125" s="3" t="s">
        <v>10</v>
      </c>
      <c r="B125" s="3" t="s">
        <v>11</v>
      </c>
      <c r="C125" s="3" t="s">
        <v>27</v>
      </c>
      <c r="D125" s="3" t="s">
        <v>13</v>
      </c>
      <c r="E125" s="3" t="s">
        <v>14</v>
      </c>
      <c r="F125" s="3">
        <v>180.0</v>
      </c>
      <c r="G125" s="4" t="s">
        <v>18</v>
      </c>
      <c r="H125" s="3">
        <v>79.17259697248943</v>
      </c>
      <c r="I125" s="3"/>
      <c r="J125" s="5"/>
    </row>
    <row r="126" ht="14.25" customHeight="1">
      <c r="A126" s="3" t="s">
        <v>10</v>
      </c>
      <c r="B126" s="3" t="s">
        <v>11</v>
      </c>
      <c r="C126" s="3" t="s">
        <v>27</v>
      </c>
      <c r="D126" s="3" t="s">
        <v>13</v>
      </c>
      <c r="E126" s="3" t="s">
        <v>14</v>
      </c>
      <c r="F126" s="3">
        <v>180.0</v>
      </c>
      <c r="G126" s="4" t="s">
        <v>19</v>
      </c>
      <c r="H126" s="3">
        <v>73.10069955676875</v>
      </c>
      <c r="I126" s="3"/>
      <c r="J126" s="5"/>
    </row>
    <row r="127" ht="14.25" customHeight="1">
      <c r="A127" s="3" t="s">
        <v>10</v>
      </c>
      <c r="B127" s="3" t="s">
        <v>11</v>
      </c>
      <c r="C127" s="3" t="s">
        <v>27</v>
      </c>
      <c r="D127" s="3" t="s">
        <v>13</v>
      </c>
      <c r="E127" s="3" t="s">
        <v>14</v>
      </c>
      <c r="F127" s="3">
        <v>180.0</v>
      </c>
      <c r="G127" s="4" t="s">
        <v>20</v>
      </c>
      <c r="H127" s="3">
        <v>82.47985112925574</v>
      </c>
      <c r="I127" s="3"/>
      <c r="J127" s="5"/>
    </row>
    <row r="128" ht="14.25" customHeight="1">
      <c r="A128" s="3" t="s">
        <v>10</v>
      </c>
      <c r="B128" s="3" t="s">
        <v>11</v>
      </c>
      <c r="C128" s="3" t="s">
        <v>27</v>
      </c>
      <c r="D128" s="3" t="s">
        <v>13</v>
      </c>
      <c r="E128" s="3" t="s">
        <v>14</v>
      </c>
      <c r="F128" s="3">
        <v>180.0</v>
      </c>
      <c r="G128" s="4" t="s">
        <v>21</v>
      </c>
      <c r="H128" s="3">
        <v>86.98064503323087</v>
      </c>
      <c r="I128" s="3"/>
      <c r="J128" s="5"/>
    </row>
    <row r="129" ht="14.25" customHeight="1">
      <c r="A129" s="3" t="s">
        <v>10</v>
      </c>
      <c r="B129" s="3" t="s">
        <v>11</v>
      </c>
      <c r="C129" s="3" t="s">
        <v>27</v>
      </c>
      <c r="D129" s="3" t="s">
        <v>13</v>
      </c>
      <c r="E129" s="3" t="s">
        <v>14</v>
      </c>
      <c r="F129" s="3">
        <v>180.0</v>
      </c>
      <c r="G129" s="4" t="s">
        <v>22</v>
      </c>
      <c r="H129" s="3">
        <v>74.03851715612842</v>
      </c>
      <c r="I129" s="3"/>
      <c r="J129" s="5"/>
    </row>
    <row r="130" ht="14.25" customHeight="1">
      <c r="A130" s="3" t="s">
        <v>23</v>
      </c>
      <c r="B130" s="3" t="s">
        <v>11</v>
      </c>
      <c r="C130" s="3" t="s">
        <v>27</v>
      </c>
      <c r="D130" s="3" t="s">
        <v>13</v>
      </c>
      <c r="E130" s="3" t="s">
        <v>14</v>
      </c>
      <c r="F130" s="3">
        <v>180.0</v>
      </c>
      <c r="G130" s="4" t="s">
        <v>15</v>
      </c>
      <c r="H130" s="3">
        <v>257.5028502813409</v>
      </c>
      <c r="I130" s="3"/>
      <c r="J130" s="5"/>
    </row>
    <row r="131" ht="14.25" customHeight="1">
      <c r="A131" s="3" t="s">
        <v>23</v>
      </c>
      <c r="B131" s="3" t="s">
        <v>11</v>
      </c>
      <c r="C131" s="3" t="s">
        <v>27</v>
      </c>
      <c r="D131" s="3" t="s">
        <v>13</v>
      </c>
      <c r="E131" s="3" t="s">
        <v>14</v>
      </c>
      <c r="F131" s="3">
        <v>180.0</v>
      </c>
      <c r="G131" s="4" t="s">
        <v>16</v>
      </c>
      <c r="H131" s="3">
        <v>264.47575160323527</v>
      </c>
      <c r="I131" s="3"/>
      <c r="J131" s="5"/>
    </row>
    <row r="132" ht="14.25" customHeight="1">
      <c r="A132" s="3" t="s">
        <v>23</v>
      </c>
      <c r="B132" s="3" t="s">
        <v>11</v>
      </c>
      <c r="C132" s="3" t="s">
        <v>27</v>
      </c>
      <c r="D132" s="3" t="s">
        <v>13</v>
      </c>
      <c r="E132" s="3" t="s">
        <v>14</v>
      </c>
      <c r="F132" s="3">
        <v>180.0</v>
      </c>
      <c r="G132" s="4" t="s">
        <v>17</v>
      </c>
      <c r="H132" s="3">
        <v>299.8867570744701</v>
      </c>
      <c r="I132" s="3"/>
      <c r="J132" s="5"/>
    </row>
    <row r="133" ht="14.25" customHeight="1">
      <c r="A133" s="3" t="s">
        <v>23</v>
      </c>
      <c r="B133" s="3" t="s">
        <v>11</v>
      </c>
      <c r="C133" s="3" t="s">
        <v>27</v>
      </c>
      <c r="D133" s="3" t="s">
        <v>13</v>
      </c>
      <c r="E133" s="3" t="s">
        <v>14</v>
      </c>
      <c r="F133" s="3">
        <v>180.0</v>
      </c>
      <c r="G133" s="4" t="s">
        <v>18</v>
      </c>
      <c r="H133" s="3">
        <v>315.49855674406354</v>
      </c>
      <c r="I133" s="3"/>
      <c r="J133" s="5"/>
    </row>
    <row r="134" ht="14.25" customHeight="1">
      <c r="A134" s="3" t="s">
        <v>23</v>
      </c>
      <c r="B134" s="3" t="s">
        <v>11</v>
      </c>
      <c r="C134" s="3" t="s">
        <v>27</v>
      </c>
      <c r="D134" s="3" t="s">
        <v>13</v>
      </c>
      <c r="E134" s="3" t="s">
        <v>14</v>
      </c>
      <c r="F134" s="3">
        <v>180.0</v>
      </c>
      <c r="G134" s="4" t="s">
        <v>19</v>
      </c>
      <c r="H134" s="3">
        <v>329.11875738379234</v>
      </c>
      <c r="I134" s="3"/>
      <c r="J134" s="5"/>
    </row>
    <row r="135" ht="14.25" customHeight="1">
      <c r="A135" s="3" t="s">
        <v>23</v>
      </c>
      <c r="B135" s="3" t="s">
        <v>11</v>
      </c>
      <c r="C135" s="3" t="s">
        <v>27</v>
      </c>
      <c r="D135" s="3" t="s">
        <v>13</v>
      </c>
      <c r="E135" s="3" t="s">
        <v>14</v>
      </c>
      <c r="F135" s="3">
        <v>180.0</v>
      </c>
      <c r="G135" s="4" t="s">
        <v>20</v>
      </c>
      <c r="H135" s="3">
        <v>358.4196806990903</v>
      </c>
      <c r="I135" s="3"/>
      <c r="J135" s="5"/>
    </row>
    <row r="136" ht="14.25" customHeight="1">
      <c r="A136" s="3" t="s">
        <v>23</v>
      </c>
      <c r="B136" s="3" t="s">
        <v>11</v>
      </c>
      <c r="C136" s="3" t="s">
        <v>27</v>
      </c>
      <c r="D136" s="3" t="s">
        <v>13</v>
      </c>
      <c r="E136" s="3" t="s">
        <v>14</v>
      </c>
      <c r="F136" s="3">
        <v>180.0</v>
      </c>
      <c r="G136" s="4" t="s">
        <v>21</v>
      </c>
      <c r="H136" s="3">
        <v>358.23528052993686</v>
      </c>
      <c r="I136" s="3"/>
      <c r="J136" s="5"/>
    </row>
    <row r="137" ht="14.25" customHeight="1">
      <c r="A137" s="3" t="s">
        <v>23</v>
      </c>
      <c r="B137" s="3" t="s">
        <v>11</v>
      </c>
      <c r="C137" s="3" t="s">
        <v>27</v>
      </c>
      <c r="D137" s="3" t="s">
        <v>13</v>
      </c>
      <c r="E137" s="3" t="s">
        <v>14</v>
      </c>
      <c r="F137" s="3">
        <v>180.0</v>
      </c>
      <c r="G137" s="4" t="s">
        <v>22</v>
      </c>
      <c r="H137" s="3">
        <v>354.66702890824996</v>
      </c>
      <c r="I137" s="3"/>
      <c r="J137" s="5"/>
    </row>
    <row r="138" ht="14.25" customHeight="1">
      <c r="A138" s="3" t="s">
        <v>24</v>
      </c>
      <c r="B138" s="3" t="s">
        <v>11</v>
      </c>
      <c r="C138" s="3" t="s">
        <v>27</v>
      </c>
      <c r="D138" s="3" t="s">
        <v>13</v>
      </c>
      <c r="E138" s="3" t="s">
        <v>14</v>
      </c>
      <c r="F138" s="3">
        <v>180.0</v>
      </c>
      <c r="G138" s="4" t="s">
        <v>15</v>
      </c>
      <c r="H138" s="3">
        <v>39.85781085773428</v>
      </c>
      <c r="I138" s="3"/>
      <c r="J138" s="5"/>
    </row>
    <row r="139" ht="14.25" customHeight="1">
      <c r="A139" s="3" t="s">
        <v>24</v>
      </c>
      <c r="B139" s="3" t="s">
        <v>11</v>
      </c>
      <c r="C139" s="3" t="s">
        <v>27</v>
      </c>
      <c r="D139" s="3" t="s">
        <v>13</v>
      </c>
      <c r="E139" s="3" t="s">
        <v>14</v>
      </c>
      <c r="F139" s="3">
        <v>180.0</v>
      </c>
      <c r="G139" s="4" t="s">
        <v>16</v>
      </c>
      <c r="H139" s="3">
        <v>43.62283959137606</v>
      </c>
      <c r="I139" s="3"/>
      <c r="J139" s="5"/>
    </row>
    <row r="140" ht="14.25" customHeight="1">
      <c r="A140" s="3" t="s">
        <v>24</v>
      </c>
      <c r="B140" s="3" t="s">
        <v>11</v>
      </c>
      <c r="C140" s="3" t="s">
        <v>27</v>
      </c>
      <c r="D140" s="3" t="s">
        <v>13</v>
      </c>
      <c r="E140" s="3" t="s">
        <v>14</v>
      </c>
      <c r="F140" s="3">
        <v>180.0</v>
      </c>
      <c r="G140" s="4" t="s">
        <v>17</v>
      </c>
      <c r="H140" s="3">
        <v>45.09153055788253</v>
      </c>
      <c r="I140" s="3"/>
      <c r="J140" s="5"/>
    </row>
    <row r="141" ht="14.25" customHeight="1">
      <c r="A141" s="3" t="s">
        <v>24</v>
      </c>
      <c r="B141" s="3" t="s">
        <v>11</v>
      </c>
      <c r="C141" s="3" t="s">
        <v>27</v>
      </c>
      <c r="D141" s="3" t="s">
        <v>13</v>
      </c>
      <c r="E141" s="3" t="s">
        <v>14</v>
      </c>
      <c r="F141" s="3">
        <v>180.0</v>
      </c>
      <c r="G141" s="4" t="s">
        <v>18</v>
      </c>
      <c r="H141" s="3">
        <v>45.5707115064344</v>
      </c>
      <c r="I141" s="3"/>
      <c r="J141" s="5"/>
    </row>
    <row r="142" ht="14.25" customHeight="1">
      <c r="A142" s="3" t="s">
        <v>24</v>
      </c>
      <c r="B142" s="3" t="s">
        <v>11</v>
      </c>
      <c r="C142" s="3" t="s">
        <v>27</v>
      </c>
      <c r="D142" s="3" t="s">
        <v>13</v>
      </c>
      <c r="E142" s="3" t="s">
        <v>14</v>
      </c>
      <c r="F142" s="3">
        <v>180.0</v>
      </c>
      <c r="G142" s="4" t="s">
        <v>19</v>
      </c>
      <c r="H142" s="3">
        <v>45.668870349411215</v>
      </c>
      <c r="I142" s="3"/>
      <c r="J142" s="5"/>
    </row>
    <row r="143" ht="14.25" customHeight="1">
      <c r="A143" s="3" t="s">
        <v>24</v>
      </c>
      <c r="B143" s="3" t="s">
        <v>11</v>
      </c>
      <c r="C143" s="3" t="s">
        <v>27</v>
      </c>
      <c r="D143" s="3" t="s">
        <v>13</v>
      </c>
      <c r="E143" s="3" t="s">
        <v>14</v>
      </c>
      <c r="F143" s="3">
        <v>180.0</v>
      </c>
      <c r="G143" s="4" t="s">
        <v>20</v>
      </c>
      <c r="H143" s="3">
        <v>52.43549526097607</v>
      </c>
      <c r="I143" s="3"/>
      <c r="J143" s="5"/>
    </row>
    <row r="144" ht="14.25" customHeight="1">
      <c r="A144" s="3" t="s">
        <v>24</v>
      </c>
      <c r="B144" s="3" t="s">
        <v>11</v>
      </c>
      <c r="C144" s="3" t="s">
        <v>27</v>
      </c>
      <c r="D144" s="3" t="s">
        <v>13</v>
      </c>
      <c r="E144" s="3" t="s">
        <v>14</v>
      </c>
      <c r="F144" s="3">
        <v>180.0</v>
      </c>
      <c r="G144" s="4" t="s">
        <v>21</v>
      </c>
      <c r="H144" s="3">
        <v>51.82540201239777</v>
      </c>
      <c r="I144" s="3"/>
      <c r="J144" s="5"/>
    </row>
    <row r="145" ht="14.25" customHeight="1">
      <c r="A145" s="3" t="s">
        <v>24</v>
      </c>
      <c r="B145" s="3" t="s">
        <v>11</v>
      </c>
      <c r="C145" s="3" t="s">
        <v>27</v>
      </c>
      <c r="D145" s="3" t="s">
        <v>13</v>
      </c>
      <c r="E145" s="3" t="s">
        <v>14</v>
      </c>
      <c r="F145" s="3">
        <v>180.0</v>
      </c>
      <c r="G145" s="4" t="s">
        <v>22</v>
      </c>
      <c r="H145" s="3">
        <v>46.71621757351582</v>
      </c>
      <c r="I145" s="3"/>
      <c r="J145" s="5"/>
    </row>
    <row r="146" ht="14.25" customHeight="1">
      <c r="A146" s="3" t="s">
        <v>25</v>
      </c>
      <c r="B146" s="3" t="s">
        <v>11</v>
      </c>
      <c r="C146" s="3" t="s">
        <v>27</v>
      </c>
      <c r="D146" s="3" t="s">
        <v>13</v>
      </c>
      <c r="E146" s="3" t="s">
        <v>14</v>
      </c>
      <c r="F146" s="3">
        <v>180.0</v>
      </c>
      <c r="G146" s="4" t="s">
        <v>15</v>
      </c>
      <c r="H146" s="3">
        <v>73.1689637030344</v>
      </c>
      <c r="I146" s="3"/>
      <c r="J146" s="5"/>
    </row>
    <row r="147" ht="14.25" customHeight="1">
      <c r="A147" s="3" t="s">
        <v>25</v>
      </c>
      <c r="B147" s="3" t="s">
        <v>11</v>
      </c>
      <c r="C147" s="3" t="s">
        <v>27</v>
      </c>
      <c r="D147" s="3" t="s">
        <v>13</v>
      </c>
      <c r="E147" s="3" t="s">
        <v>14</v>
      </c>
      <c r="F147" s="3">
        <v>180.0</v>
      </c>
      <c r="G147" s="4" t="s">
        <v>16</v>
      </c>
      <c r="H147" s="3">
        <v>74.9349079185817</v>
      </c>
      <c r="I147" s="3"/>
      <c r="J147" s="5"/>
    </row>
    <row r="148" ht="14.25" customHeight="1">
      <c r="A148" s="3" t="s">
        <v>25</v>
      </c>
      <c r="B148" s="3" t="s">
        <v>11</v>
      </c>
      <c r="C148" s="3" t="s">
        <v>27</v>
      </c>
      <c r="D148" s="3" t="s">
        <v>13</v>
      </c>
      <c r="E148" s="3" t="s">
        <v>14</v>
      </c>
      <c r="F148" s="3">
        <v>180.0</v>
      </c>
      <c r="G148" s="4" t="s">
        <v>17</v>
      </c>
      <c r="H148" s="3">
        <v>93.31235742086842</v>
      </c>
      <c r="I148" s="3"/>
      <c r="J148" s="5"/>
    </row>
    <row r="149" ht="14.25" customHeight="1">
      <c r="A149" s="3" t="s">
        <v>25</v>
      </c>
      <c r="B149" s="3" t="s">
        <v>11</v>
      </c>
      <c r="C149" s="3" t="s">
        <v>27</v>
      </c>
      <c r="D149" s="3" t="s">
        <v>13</v>
      </c>
      <c r="E149" s="3" t="s">
        <v>14</v>
      </c>
      <c r="F149" s="3">
        <v>180.0</v>
      </c>
      <c r="G149" s="4" t="s">
        <v>18</v>
      </c>
      <c r="H149" s="3">
        <v>100.56769530083231</v>
      </c>
      <c r="I149" s="3"/>
      <c r="J149" s="5"/>
    </row>
    <row r="150" ht="14.25" customHeight="1">
      <c r="A150" s="3" t="s">
        <v>25</v>
      </c>
      <c r="B150" s="3" t="s">
        <v>11</v>
      </c>
      <c r="C150" s="3" t="s">
        <v>27</v>
      </c>
      <c r="D150" s="3" t="s">
        <v>13</v>
      </c>
      <c r="E150" s="3" t="s">
        <v>14</v>
      </c>
      <c r="F150" s="3">
        <v>180.0</v>
      </c>
      <c r="G150" s="4" t="s">
        <v>19</v>
      </c>
      <c r="H150" s="3">
        <v>104.30536681094014</v>
      </c>
      <c r="I150" s="3"/>
      <c r="J150" s="5"/>
    </row>
    <row r="151" ht="14.25" customHeight="1">
      <c r="A151" s="3" t="s">
        <v>25</v>
      </c>
      <c r="B151" s="3" t="s">
        <v>11</v>
      </c>
      <c r="C151" s="3" t="s">
        <v>27</v>
      </c>
      <c r="D151" s="3" t="s">
        <v>13</v>
      </c>
      <c r="E151" s="3" t="s">
        <v>14</v>
      </c>
      <c r="F151" s="3">
        <v>180.0</v>
      </c>
      <c r="G151" s="4" t="s">
        <v>20</v>
      </c>
      <c r="H151" s="3">
        <v>115.93775657575355</v>
      </c>
      <c r="I151" s="3"/>
      <c r="J151" s="5"/>
    </row>
    <row r="152" ht="14.25" customHeight="1">
      <c r="A152" s="3" t="s">
        <v>25</v>
      </c>
      <c r="B152" s="3" t="s">
        <v>11</v>
      </c>
      <c r="C152" s="3" t="s">
        <v>27</v>
      </c>
      <c r="D152" s="3" t="s">
        <v>13</v>
      </c>
      <c r="E152" s="3" t="s">
        <v>14</v>
      </c>
      <c r="F152" s="3">
        <v>180.0</v>
      </c>
      <c r="G152" s="4" t="s">
        <v>21</v>
      </c>
      <c r="H152" s="3">
        <v>118.24942994699308</v>
      </c>
      <c r="I152" s="3"/>
      <c r="J152" s="5"/>
    </row>
    <row r="153" ht="14.25" customHeight="1">
      <c r="A153" s="3" t="s">
        <v>25</v>
      </c>
      <c r="B153" s="3" t="s">
        <v>11</v>
      </c>
      <c r="C153" s="3" t="s">
        <v>27</v>
      </c>
      <c r="D153" s="3" t="s">
        <v>13</v>
      </c>
      <c r="E153" s="3" t="s">
        <v>14</v>
      </c>
      <c r="F153" s="3">
        <v>180.0</v>
      </c>
      <c r="G153" s="4" t="s">
        <v>22</v>
      </c>
      <c r="H153" s="3">
        <v>112.7676207614797</v>
      </c>
      <c r="I153" s="3"/>
      <c r="J153" s="5"/>
    </row>
    <row r="154" ht="14.25" customHeight="1">
      <c r="A154" s="3" t="s">
        <v>26</v>
      </c>
      <c r="B154" s="3" t="s">
        <v>11</v>
      </c>
      <c r="C154" s="3" t="s">
        <v>27</v>
      </c>
      <c r="D154" s="3" t="s">
        <v>13</v>
      </c>
      <c r="E154" s="3" t="s">
        <v>14</v>
      </c>
      <c r="F154" s="3">
        <v>180.0</v>
      </c>
      <c r="G154" s="4" t="s">
        <v>15</v>
      </c>
      <c r="H154" s="3">
        <v>144.57042736474432</v>
      </c>
      <c r="I154" s="3"/>
      <c r="J154" s="5"/>
    </row>
    <row r="155" ht="14.25" customHeight="1">
      <c r="A155" s="3" t="s">
        <v>26</v>
      </c>
      <c r="B155" s="3" t="s">
        <v>11</v>
      </c>
      <c r="C155" s="3" t="s">
        <v>27</v>
      </c>
      <c r="D155" s="3" t="s">
        <v>13</v>
      </c>
      <c r="E155" s="3" t="s">
        <v>14</v>
      </c>
      <c r="F155" s="3">
        <v>180.0</v>
      </c>
      <c r="G155" s="4" t="s">
        <v>16</v>
      </c>
      <c r="H155" s="3">
        <v>146.05304058789017</v>
      </c>
      <c r="I155" s="3"/>
      <c r="J155" s="5"/>
    </row>
    <row r="156" ht="14.25" customHeight="1">
      <c r="A156" s="3" t="s">
        <v>26</v>
      </c>
      <c r="B156" s="3" t="s">
        <v>11</v>
      </c>
      <c r="C156" s="3" t="s">
        <v>27</v>
      </c>
      <c r="D156" s="3" t="s">
        <v>13</v>
      </c>
      <c r="E156" s="3" t="s">
        <v>14</v>
      </c>
      <c r="F156" s="3">
        <v>180.0</v>
      </c>
      <c r="G156" s="4" t="s">
        <v>17</v>
      </c>
      <c r="H156" s="3">
        <v>160.7503588169419</v>
      </c>
      <c r="I156" s="3"/>
      <c r="J156" s="5"/>
    </row>
    <row r="157" ht="14.25" customHeight="1">
      <c r="A157" s="3" t="s">
        <v>26</v>
      </c>
      <c r="B157" s="3" t="s">
        <v>11</v>
      </c>
      <c r="C157" s="3" t="s">
        <v>27</v>
      </c>
      <c r="D157" s="3" t="s">
        <v>13</v>
      </c>
      <c r="E157" s="3" t="s">
        <v>14</v>
      </c>
      <c r="F157" s="3">
        <v>180.0</v>
      </c>
      <c r="G157" s="4" t="s">
        <v>18</v>
      </c>
      <c r="H157" s="3">
        <v>168.727668935052</v>
      </c>
      <c r="I157" s="3"/>
      <c r="J157" s="5"/>
    </row>
    <row r="158" ht="14.25" customHeight="1">
      <c r="A158" s="3" t="s">
        <v>26</v>
      </c>
      <c r="B158" s="3" t="s">
        <v>11</v>
      </c>
      <c r="C158" s="3" t="s">
        <v>27</v>
      </c>
      <c r="D158" s="3" t="s">
        <v>13</v>
      </c>
      <c r="E158" s="3" t="s">
        <v>14</v>
      </c>
      <c r="F158" s="3">
        <v>180.0</v>
      </c>
      <c r="G158" s="4" t="s">
        <v>19</v>
      </c>
      <c r="H158" s="3">
        <v>178.29416575352272</v>
      </c>
      <c r="I158" s="3"/>
      <c r="J158" s="5"/>
    </row>
    <row r="159" ht="14.25" customHeight="1">
      <c r="A159" s="3" t="s">
        <v>26</v>
      </c>
      <c r="B159" s="3" t="s">
        <v>11</v>
      </c>
      <c r="C159" s="3" t="s">
        <v>27</v>
      </c>
      <c r="D159" s="3" t="s">
        <v>13</v>
      </c>
      <c r="E159" s="3" t="s">
        <v>14</v>
      </c>
      <c r="F159" s="3">
        <v>180.0</v>
      </c>
      <c r="G159" s="4" t="s">
        <v>20</v>
      </c>
      <c r="H159" s="3">
        <v>189.4332207395674</v>
      </c>
      <c r="I159" s="3"/>
      <c r="J159" s="5"/>
    </row>
    <row r="160" ht="14.25" customHeight="1">
      <c r="A160" s="3" t="s">
        <v>26</v>
      </c>
      <c r="B160" s="3" t="s">
        <v>11</v>
      </c>
      <c r="C160" s="3" t="s">
        <v>27</v>
      </c>
      <c r="D160" s="3" t="s">
        <v>13</v>
      </c>
      <c r="E160" s="3" t="s">
        <v>14</v>
      </c>
      <c r="F160" s="3">
        <v>180.0</v>
      </c>
      <c r="G160" s="4" t="s">
        <v>21</v>
      </c>
      <c r="H160" s="3">
        <v>187.97215110340335</v>
      </c>
      <c r="I160" s="3"/>
      <c r="J160" s="5"/>
    </row>
    <row r="161" ht="14.25" customHeight="1">
      <c r="A161" s="3" t="s">
        <v>26</v>
      </c>
      <c r="B161" s="3" t="s">
        <v>11</v>
      </c>
      <c r="C161" s="3" t="s">
        <v>27</v>
      </c>
      <c r="D161" s="3" t="s">
        <v>13</v>
      </c>
      <c r="E161" s="3" t="s">
        <v>14</v>
      </c>
      <c r="F161" s="3">
        <v>180.0</v>
      </c>
      <c r="G161" s="4" t="s">
        <v>22</v>
      </c>
      <c r="H161" s="3">
        <v>195.04879437004362</v>
      </c>
      <c r="I161" s="3"/>
      <c r="J161" s="5"/>
    </row>
    <row r="162" ht="14.25" customHeight="1">
      <c r="A162" s="3" t="s">
        <v>10</v>
      </c>
      <c r="B162" s="3" t="s">
        <v>11</v>
      </c>
      <c r="C162" s="3" t="s">
        <v>12</v>
      </c>
      <c r="D162" s="3" t="s">
        <v>28</v>
      </c>
      <c r="E162" s="3" t="s">
        <v>29</v>
      </c>
      <c r="F162" s="3">
        <v>220.0</v>
      </c>
      <c r="G162" s="4" t="s">
        <v>15</v>
      </c>
      <c r="H162" s="3">
        <v>13.049478488828704</v>
      </c>
      <c r="I162" s="3"/>
      <c r="J162" s="5"/>
    </row>
    <row r="163" ht="14.25" customHeight="1">
      <c r="A163" s="3" t="s">
        <v>10</v>
      </c>
      <c r="B163" s="3" t="s">
        <v>11</v>
      </c>
      <c r="C163" s="3" t="s">
        <v>12</v>
      </c>
      <c r="D163" s="3" t="s">
        <v>28</v>
      </c>
      <c r="E163" s="3" t="s">
        <v>29</v>
      </c>
      <c r="F163" s="3">
        <v>220.0</v>
      </c>
      <c r="G163" s="4" t="s">
        <v>16</v>
      </c>
      <c r="H163" s="3">
        <v>13.182757174481253</v>
      </c>
      <c r="I163" s="3"/>
      <c r="J163" s="5"/>
    </row>
    <row r="164" ht="14.25" customHeight="1">
      <c r="A164" s="3" t="s">
        <v>10</v>
      </c>
      <c r="B164" s="3" t="s">
        <v>11</v>
      </c>
      <c r="C164" s="3" t="s">
        <v>12</v>
      </c>
      <c r="D164" s="3" t="s">
        <v>28</v>
      </c>
      <c r="E164" s="3" t="s">
        <v>29</v>
      </c>
      <c r="F164" s="3">
        <v>220.0</v>
      </c>
      <c r="G164" s="4" t="s">
        <v>17</v>
      </c>
      <c r="H164" s="3">
        <v>16.171501833862663</v>
      </c>
      <c r="I164" s="3"/>
      <c r="J164" s="5"/>
    </row>
    <row r="165" ht="14.25" customHeight="1">
      <c r="A165" s="3" t="s">
        <v>10</v>
      </c>
      <c r="B165" s="3" t="s">
        <v>11</v>
      </c>
      <c r="C165" s="3" t="s">
        <v>12</v>
      </c>
      <c r="D165" s="3" t="s">
        <v>28</v>
      </c>
      <c r="E165" s="3" t="s">
        <v>29</v>
      </c>
      <c r="F165" s="3">
        <v>220.0</v>
      </c>
      <c r="G165" s="4" t="s">
        <v>18</v>
      </c>
      <c r="H165" s="3">
        <v>18.64352528957619</v>
      </c>
      <c r="I165" s="3"/>
      <c r="J165" s="5"/>
    </row>
    <row r="166" ht="14.25" customHeight="1">
      <c r="A166" s="3" t="s">
        <v>10</v>
      </c>
      <c r="B166" s="3" t="s">
        <v>11</v>
      </c>
      <c r="C166" s="3" t="s">
        <v>12</v>
      </c>
      <c r="D166" s="3" t="s">
        <v>28</v>
      </c>
      <c r="E166" s="3" t="s">
        <v>29</v>
      </c>
      <c r="F166" s="3">
        <v>220.0</v>
      </c>
      <c r="G166" s="4" t="s">
        <v>19</v>
      </c>
      <c r="H166" s="3">
        <v>19.423453284999283</v>
      </c>
      <c r="I166" s="3"/>
      <c r="J166" s="5"/>
    </row>
    <row r="167" ht="14.25" customHeight="1">
      <c r="A167" s="3" t="s">
        <v>10</v>
      </c>
      <c r="B167" s="3" t="s">
        <v>11</v>
      </c>
      <c r="C167" s="3" t="s">
        <v>12</v>
      </c>
      <c r="D167" s="3" t="s">
        <v>28</v>
      </c>
      <c r="E167" s="3" t="s">
        <v>29</v>
      </c>
      <c r="F167" s="3">
        <v>220.0</v>
      </c>
      <c r="G167" s="4" t="s">
        <v>20</v>
      </c>
      <c r="H167" s="3">
        <v>21.66598785312182</v>
      </c>
      <c r="I167" s="3"/>
      <c r="J167" s="5"/>
    </row>
    <row r="168" ht="14.25" customHeight="1">
      <c r="A168" s="3" t="s">
        <v>10</v>
      </c>
      <c r="B168" s="3" t="s">
        <v>11</v>
      </c>
      <c r="C168" s="3" t="s">
        <v>12</v>
      </c>
      <c r="D168" s="3" t="s">
        <v>28</v>
      </c>
      <c r="E168" s="3" t="s">
        <v>29</v>
      </c>
      <c r="F168" s="3">
        <v>220.0</v>
      </c>
      <c r="G168" s="4" t="s">
        <v>21</v>
      </c>
      <c r="H168" s="3">
        <v>21.040969499689027</v>
      </c>
      <c r="I168" s="3"/>
      <c r="J168" s="5"/>
    </row>
    <row r="169" ht="14.25" customHeight="1">
      <c r="A169" s="3" t="s">
        <v>10</v>
      </c>
      <c r="B169" s="3" t="s">
        <v>11</v>
      </c>
      <c r="C169" s="3" t="s">
        <v>12</v>
      </c>
      <c r="D169" s="3" t="s">
        <v>28</v>
      </c>
      <c r="E169" s="3" t="s">
        <v>29</v>
      </c>
      <c r="F169" s="3">
        <v>220.0</v>
      </c>
      <c r="G169" s="4" t="s">
        <v>22</v>
      </c>
      <c r="H169" s="3">
        <v>17.87576579961599</v>
      </c>
      <c r="I169" s="3"/>
      <c r="J169" s="5"/>
    </row>
    <row r="170" ht="14.25" customHeight="1">
      <c r="A170" s="3" t="s">
        <v>23</v>
      </c>
      <c r="B170" s="3" t="s">
        <v>11</v>
      </c>
      <c r="C170" s="3" t="s">
        <v>12</v>
      </c>
      <c r="D170" s="3" t="s">
        <v>28</v>
      </c>
      <c r="E170" s="3" t="s">
        <v>29</v>
      </c>
      <c r="F170" s="3">
        <v>220.0</v>
      </c>
      <c r="G170" s="4" t="s">
        <v>15</v>
      </c>
      <c r="H170" s="3">
        <v>61.707201750005915</v>
      </c>
      <c r="I170" s="3"/>
      <c r="J170" s="5"/>
    </row>
    <row r="171" ht="14.25" customHeight="1">
      <c r="A171" s="3" t="s">
        <v>23</v>
      </c>
      <c r="B171" s="3" t="s">
        <v>11</v>
      </c>
      <c r="C171" s="3" t="s">
        <v>12</v>
      </c>
      <c r="D171" s="3" t="s">
        <v>28</v>
      </c>
      <c r="E171" s="3" t="s">
        <v>29</v>
      </c>
      <c r="F171" s="3">
        <v>220.0</v>
      </c>
      <c r="G171" s="4" t="s">
        <v>16</v>
      </c>
      <c r="H171" s="3">
        <v>66.67542677888953</v>
      </c>
      <c r="I171" s="3"/>
      <c r="J171" s="5"/>
    </row>
    <row r="172" ht="14.25" customHeight="1">
      <c r="A172" s="3" t="s">
        <v>23</v>
      </c>
      <c r="B172" s="3" t="s">
        <v>11</v>
      </c>
      <c r="C172" s="3" t="s">
        <v>12</v>
      </c>
      <c r="D172" s="3" t="s">
        <v>28</v>
      </c>
      <c r="E172" s="3" t="s">
        <v>29</v>
      </c>
      <c r="F172" s="3">
        <v>220.0</v>
      </c>
      <c r="G172" s="4" t="s">
        <v>17</v>
      </c>
      <c r="H172" s="3">
        <v>64.23520589290784</v>
      </c>
      <c r="I172" s="3"/>
      <c r="J172" s="5"/>
    </row>
    <row r="173" ht="14.25" customHeight="1">
      <c r="A173" s="3" t="s">
        <v>23</v>
      </c>
      <c r="B173" s="3" t="s">
        <v>11</v>
      </c>
      <c r="C173" s="3" t="s">
        <v>12</v>
      </c>
      <c r="D173" s="3" t="s">
        <v>28</v>
      </c>
      <c r="E173" s="3" t="s">
        <v>29</v>
      </c>
      <c r="F173" s="3">
        <v>220.0</v>
      </c>
      <c r="G173" s="4" t="s">
        <v>18</v>
      </c>
      <c r="H173" s="3">
        <v>71.16964477615406</v>
      </c>
      <c r="I173" s="3"/>
      <c r="J173" s="5"/>
    </row>
    <row r="174" ht="14.25" customHeight="1">
      <c r="A174" s="3" t="s">
        <v>23</v>
      </c>
      <c r="B174" s="3" t="s">
        <v>11</v>
      </c>
      <c r="C174" s="3" t="s">
        <v>12</v>
      </c>
      <c r="D174" s="3" t="s">
        <v>28</v>
      </c>
      <c r="E174" s="3" t="s">
        <v>29</v>
      </c>
      <c r="F174" s="3">
        <v>220.0</v>
      </c>
      <c r="G174" s="4" t="s">
        <v>19</v>
      </c>
      <c r="H174" s="3">
        <v>71.52018076924769</v>
      </c>
      <c r="I174" s="3"/>
      <c r="J174" s="5"/>
    </row>
    <row r="175" ht="14.25" customHeight="1">
      <c r="A175" s="3" t="s">
        <v>23</v>
      </c>
      <c r="B175" s="3" t="s">
        <v>11</v>
      </c>
      <c r="C175" s="3" t="s">
        <v>12</v>
      </c>
      <c r="D175" s="3" t="s">
        <v>28</v>
      </c>
      <c r="E175" s="3" t="s">
        <v>29</v>
      </c>
      <c r="F175" s="3">
        <v>220.0</v>
      </c>
      <c r="G175" s="4" t="s">
        <v>20</v>
      </c>
      <c r="H175" s="3">
        <v>72.61108764053064</v>
      </c>
      <c r="I175" s="3"/>
      <c r="J175" s="5"/>
    </row>
    <row r="176" ht="14.25" customHeight="1">
      <c r="A176" s="3" t="s">
        <v>23</v>
      </c>
      <c r="B176" s="3" t="s">
        <v>11</v>
      </c>
      <c r="C176" s="3" t="s">
        <v>12</v>
      </c>
      <c r="D176" s="3" t="s">
        <v>28</v>
      </c>
      <c r="E176" s="3" t="s">
        <v>29</v>
      </c>
      <c r="F176" s="3">
        <v>220.0</v>
      </c>
      <c r="G176" s="4" t="s">
        <v>21</v>
      </c>
      <c r="H176" s="3">
        <v>74.50499536479326</v>
      </c>
      <c r="I176" s="3"/>
      <c r="J176" s="5"/>
    </row>
    <row r="177" ht="14.25" customHeight="1">
      <c r="A177" s="3" t="s">
        <v>23</v>
      </c>
      <c r="B177" s="3" t="s">
        <v>11</v>
      </c>
      <c r="C177" s="3" t="s">
        <v>12</v>
      </c>
      <c r="D177" s="3" t="s">
        <v>28</v>
      </c>
      <c r="E177" s="3" t="s">
        <v>29</v>
      </c>
      <c r="F177" s="3">
        <v>220.0</v>
      </c>
      <c r="G177" s="4" t="s">
        <v>22</v>
      </c>
      <c r="H177" s="3">
        <v>68.781689535972</v>
      </c>
      <c r="I177" s="3"/>
      <c r="J177" s="5"/>
    </row>
    <row r="178" ht="14.25" customHeight="1">
      <c r="A178" s="3" t="s">
        <v>24</v>
      </c>
      <c r="B178" s="3" t="s">
        <v>11</v>
      </c>
      <c r="C178" s="3" t="s">
        <v>12</v>
      </c>
      <c r="D178" s="3" t="s">
        <v>28</v>
      </c>
      <c r="E178" s="3" t="s">
        <v>29</v>
      </c>
      <c r="F178" s="3">
        <v>220.0</v>
      </c>
      <c r="G178" s="4" t="s">
        <v>15</v>
      </c>
      <c r="H178" s="3">
        <v>1.2145658463199434E-4</v>
      </c>
      <c r="I178" s="3"/>
      <c r="J178" s="5"/>
    </row>
    <row r="179" ht="14.25" customHeight="1">
      <c r="A179" s="3" t="s">
        <v>24</v>
      </c>
      <c r="B179" s="3" t="s">
        <v>11</v>
      </c>
      <c r="C179" s="3" t="s">
        <v>12</v>
      </c>
      <c r="D179" s="3" t="s">
        <v>28</v>
      </c>
      <c r="E179" s="3" t="s">
        <v>29</v>
      </c>
      <c r="F179" s="3">
        <v>220.0</v>
      </c>
      <c r="G179" s="4" t="s">
        <v>16</v>
      </c>
      <c r="H179" s="3">
        <v>2.519145819898038E-4</v>
      </c>
      <c r="I179" s="3"/>
      <c r="J179" s="5"/>
    </row>
    <row r="180" ht="14.25" customHeight="1">
      <c r="A180" s="3" t="s">
        <v>24</v>
      </c>
      <c r="B180" s="3" t="s">
        <v>11</v>
      </c>
      <c r="C180" s="3" t="s">
        <v>12</v>
      </c>
      <c r="D180" s="3" t="s">
        <v>28</v>
      </c>
      <c r="E180" s="3" t="s">
        <v>29</v>
      </c>
      <c r="F180" s="3">
        <v>220.0</v>
      </c>
      <c r="G180" s="4" t="s">
        <v>17</v>
      </c>
      <c r="H180" s="3">
        <v>0.4060556087020484</v>
      </c>
      <c r="I180" s="3"/>
      <c r="J180" s="5"/>
    </row>
    <row r="181" ht="14.25" customHeight="1">
      <c r="A181" s="3" t="s">
        <v>24</v>
      </c>
      <c r="B181" s="3" t="s">
        <v>11</v>
      </c>
      <c r="C181" s="3" t="s">
        <v>12</v>
      </c>
      <c r="D181" s="3" t="s">
        <v>28</v>
      </c>
      <c r="E181" s="3" t="s">
        <v>29</v>
      </c>
      <c r="F181" s="3">
        <v>220.0</v>
      </c>
      <c r="G181" s="4" t="s">
        <v>18</v>
      </c>
      <c r="H181" s="3">
        <v>3.6349843798908226</v>
      </c>
      <c r="I181" s="3"/>
      <c r="J181" s="5"/>
    </row>
    <row r="182" ht="14.25" customHeight="1">
      <c r="A182" s="3" t="s">
        <v>24</v>
      </c>
      <c r="B182" s="3" t="s">
        <v>11</v>
      </c>
      <c r="C182" s="3" t="s">
        <v>12</v>
      </c>
      <c r="D182" s="3" t="s">
        <v>28</v>
      </c>
      <c r="E182" s="3" t="s">
        <v>29</v>
      </c>
      <c r="F182" s="3">
        <v>220.0</v>
      </c>
      <c r="G182" s="4" t="s">
        <v>19</v>
      </c>
      <c r="H182" s="3">
        <v>5.052331763654357</v>
      </c>
      <c r="I182" s="3"/>
      <c r="J182" s="5"/>
    </row>
    <row r="183" ht="14.25" customHeight="1">
      <c r="A183" s="3" t="s">
        <v>24</v>
      </c>
      <c r="B183" s="3" t="s">
        <v>11</v>
      </c>
      <c r="C183" s="3" t="s">
        <v>12</v>
      </c>
      <c r="D183" s="3" t="s">
        <v>28</v>
      </c>
      <c r="E183" s="3" t="s">
        <v>29</v>
      </c>
      <c r="F183" s="3">
        <v>220.0</v>
      </c>
      <c r="G183" s="4" t="s">
        <v>20</v>
      </c>
      <c r="H183" s="3">
        <v>6.218694039281243</v>
      </c>
      <c r="I183" s="3"/>
      <c r="J183" s="5"/>
    </row>
    <row r="184" ht="14.25" customHeight="1">
      <c r="A184" s="3" t="s">
        <v>24</v>
      </c>
      <c r="B184" s="3" t="s">
        <v>11</v>
      </c>
      <c r="C184" s="3" t="s">
        <v>12</v>
      </c>
      <c r="D184" s="3" t="s">
        <v>28</v>
      </c>
      <c r="E184" s="3" t="s">
        <v>29</v>
      </c>
      <c r="F184" s="3">
        <v>220.0</v>
      </c>
      <c r="G184" s="4" t="s">
        <v>21</v>
      </c>
      <c r="H184" s="3">
        <v>5.811799574001349</v>
      </c>
      <c r="I184" s="3"/>
      <c r="J184" s="5"/>
    </row>
    <row r="185" ht="14.25" customHeight="1">
      <c r="A185" s="3" t="s">
        <v>24</v>
      </c>
      <c r="B185" s="3" t="s">
        <v>11</v>
      </c>
      <c r="C185" s="3" t="s">
        <v>12</v>
      </c>
      <c r="D185" s="3" t="s">
        <v>28</v>
      </c>
      <c r="E185" s="3" t="s">
        <v>29</v>
      </c>
      <c r="F185" s="3">
        <v>220.0</v>
      </c>
      <c r="G185" s="4" t="s">
        <v>22</v>
      </c>
      <c r="H185" s="3">
        <v>4.568926396197582</v>
      </c>
      <c r="I185" s="3"/>
      <c r="J185" s="5"/>
    </row>
    <row r="186" ht="14.25" customHeight="1">
      <c r="A186" s="3" t="s">
        <v>25</v>
      </c>
      <c r="B186" s="3" t="s">
        <v>11</v>
      </c>
      <c r="C186" s="3" t="s">
        <v>12</v>
      </c>
      <c r="D186" s="3" t="s">
        <v>28</v>
      </c>
      <c r="E186" s="3" t="s">
        <v>29</v>
      </c>
      <c r="F186" s="3">
        <v>220.0</v>
      </c>
      <c r="G186" s="4" t="s">
        <v>15</v>
      </c>
      <c r="H186" s="3">
        <v>12.112055955029694</v>
      </c>
      <c r="I186" s="3"/>
      <c r="J186" s="5"/>
    </row>
    <row r="187" ht="14.25" customHeight="1">
      <c r="A187" s="3" t="s">
        <v>25</v>
      </c>
      <c r="B187" s="3" t="s">
        <v>11</v>
      </c>
      <c r="C187" s="3" t="s">
        <v>12</v>
      </c>
      <c r="D187" s="3" t="s">
        <v>28</v>
      </c>
      <c r="E187" s="3" t="s">
        <v>29</v>
      </c>
      <c r="F187" s="3">
        <v>220.0</v>
      </c>
      <c r="G187" s="4" t="s">
        <v>16</v>
      </c>
      <c r="H187" s="3">
        <v>11.369842215638272</v>
      </c>
      <c r="I187" s="3"/>
      <c r="J187" s="5"/>
    </row>
    <row r="188" ht="14.25" customHeight="1">
      <c r="A188" s="3" t="s">
        <v>25</v>
      </c>
      <c r="B188" s="3" t="s">
        <v>11</v>
      </c>
      <c r="C188" s="3" t="s">
        <v>12</v>
      </c>
      <c r="D188" s="3" t="s">
        <v>28</v>
      </c>
      <c r="E188" s="3" t="s">
        <v>29</v>
      </c>
      <c r="F188" s="3">
        <v>220.0</v>
      </c>
      <c r="G188" s="4" t="s">
        <v>17</v>
      </c>
      <c r="H188" s="3">
        <v>10.739280509761395</v>
      </c>
      <c r="I188" s="3"/>
      <c r="J188" s="5"/>
    </row>
    <row r="189" ht="14.25" customHeight="1">
      <c r="A189" s="3" t="s">
        <v>25</v>
      </c>
      <c r="B189" s="3" t="s">
        <v>11</v>
      </c>
      <c r="C189" s="3" t="s">
        <v>12</v>
      </c>
      <c r="D189" s="3" t="s">
        <v>28</v>
      </c>
      <c r="E189" s="3" t="s">
        <v>29</v>
      </c>
      <c r="F189" s="3">
        <v>220.0</v>
      </c>
      <c r="G189" s="4" t="s">
        <v>18</v>
      </c>
      <c r="H189" s="3">
        <v>11.876126260059282</v>
      </c>
      <c r="I189" s="3"/>
      <c r="J189" s="5"/>
    </row>
    <row r="190" ht="14.25" customHeight="1">
      <c r="A190" s="3" t="s">
        <v>25</v>
      </c>
      <c r="B190" s="3" t="s">
        <v>11</v>
      </c>
      <c r="C190" s="3" t="s">
        <v>12</v>
      </c>
      <c r="D190" s="3" t="s">
        <v>28</v>
      </c>
      <c r="E190" s="3" t="s">
        <v>29</v>
      </c>
      <c r="F190" s="3">
        <v>220.0</v>
      </c>
      <c r="G190" s="4" t="s">
        <v>19</v>
      </c>
      <c r="H190" s="3">
        <v>13.470715447381167</v>
      </c>
      <c r="I190" s="3"/>
      <c r="J190" s="5"/>
    </row>
    <row r="191" ht="14.25" customHeight="1">
      <c r="A191" s="3" t="s">
        <v>25</v>
      </c>
      <c r="B191" s="3" t="s">
        <v>11</v>
      </c>
      <c r="C191" s="3" t="s">
        <v>12</v>
      </c>
      <c r="D191" s="3" t="s">
        <v>28</v>
      </c>
      <c r="E191" s="3" t="s">
        <v>29</v>
      </c>
      <c r="F191" s="3">
        <v>220.0</v>
      </c>
      <c r="G191" s="4" t="s">
        <v>20</v>
      </c>
      <c r="H191" s="3">
        <v>14.434903153051334</v>
      </c>
      <c r="I191" s="3"/>
      <c r="J191" s="5"/>
    </row>
    <row r="192" ht="14.25" customHeight="1">
      <c r="A192" s="3" t="s">
        <v>25</v>
      </c>
      <c r="B192" s="3" t="s">
        <v>11</v>
      </c>
      <c r="C192" s="3" t="s">
        <v>12</v>
      </c>
      <c r="D192" s="3" t="s">
        <v>28</v>
      </c>
      <c r="E192" s="3" t="s">
        <v>29</v>
      </c>
      <c r="F192" s="3">
        <v>220.0</v>
      </c>
      <c r="G192" s="4" t="s">
        <v>21</v>
      </c>
      <c r="H192" s="3">
        <v>14.065077272427043</v>
      </c>
      <c r="I192" s="3"/>
      <c r="J192" s="5"/>
    </row>
    <row r="193" ht="14.25" customHeight="1">
      <c r="A193" s="3" t="s">
        <v>25</v>
      </c>
      <c r="B193" s="3" t="s">
        <v>11</v>
      </c>
      <c r="C193" s="3" t="s">
        <v>12</v>
      </c>
      <c r="D193" s="3" t="s">
        <v>28</v>
      </c>
      <c r="E193" s="3" t="s">
        <v>29</v>
      </c>
      <c r="F193" s="3">
        <v>220.0</v>
      </c>
      <c r="G193" s="4" t="s">
        <v>22</v>
      </c>
      <c r="H193" s="3">
        <v>12.032992857227287</v>
      </c>
      <c r="I193" s="3"/>
      <c r="J193" s="5"/>
    </row>
    <row r="194" ht="14.25" customHeight="1">
      <c r="A194" s="3" t="s">
        <v>26</v>
      </c>
      <c r="B194" s="3" t="s">
        <v>11</v>
      </c>
      <c r="C194" s="3" t="s">
        <v>12</v>
      </c>
      <c r="D194" s="3" t="s">
        <v>28</v>
      </c>
      <c r="E194" s="3" t="s">
        <v>29</v>
      </c>
      <c r="F194" s="3">
        <v>220.0</v>
      </c>
      <c r="G194" s="4" t="s">
        <v>15</v>
      </c>
      <c r="H194" s="3">
        <v>47.91185915715014</v>
      </c>
      <c r="I194" s="3"/>
      <c r="J194" s="5"/>
    </row>
    <row r="195" ht="14.25" customHeight="1">
      <c r="A195" s="3" t="s">
        <v>26</v>
      </c>
      <c r="B195" s="3" t="s">
        <v>11</v>
      </c>
      <c r="C195" s="3" t="s">
        <v>12</v>
      </c>
      <c r="D195" s="3" t="s">
        <v>28</v>
      </c>
      <c r="E195" s="3" t="s">
        <v>29</v>
      </c>
      <c r="F195" s="3">
        <v>220.0</v>
      </c>
      <c r="G195" s="4" t="s">
        <v>16</v>
      </c>
      <c r="H195" s="3">
        <v>52.975066425862046</v>
      </c>
      <c r="I195" s="3"/>
      <c r="J195" s="5"/>
    </row>
    <row r="196" ht="14.25" customHeight="1">
      <c r="A196" s="3" t="s">
        <v>26</v>
      </c>
      <c r="B196" s="3" t="s">
        <v>11</v>
      </c>
      <c r="C196" s="3" t="s">
        <v>12</v>
      </c>
      <c r="D196" s="3" t="s">
        <v>28</v>
      </c>
      <c r="E196" s="3" t="s">
        <v>29</v>
      </c>
      <c r="F196" s="3">
        <v>220.0</v>
      </c>
      <c r="G196" s="4" t="s">
        <v>17</v>
      </c>
      <c r="H196" s="3">
        <v>51.179819543496066</v>
      </c>
      <c r="I196" s="3"/>
      <c r="J196" s="5"/>
    </row>
    <row r="197" ht="14.25" customHeight="1">
      <c r="A197" s="3" t="s">
        <v>26</v>
      </c>
      <c r="B197" s="3" t="s">
        <v>11</v>
      </c>
      <c r="C197" s="3" t="s">
        <v>12</v>
      </c>
      <c r="D197" s="3" t="s">
        <v>28</v>
      </c>
      <c r="E197" s="3" t="s">
        <v>29</v>
      </c>
      <c r="F197" s="3">
        <v>220.0</v>
      </c>
      <c r="G197" s="4" t="s">
        <v>18</v>
      </c>
      <c r="H197" s="3">
        <v>55.20377034241613</v>
      </c>
      <c r="I197" s="3"/>
      <c r="J197" s="5"/>
    </row>
    <row r="198" ht="14.25" customHeight="1">
      <c r="A198" s="3" t="s">
        <v>26</v>
      </c>
      <c r="B198" s="3" t="s">
        <v>11</v>
      </c>
      <c r="C198" s="3" t="s">
        <v>12</v>
      </c>
      <c r="D198" s="3" t="s">
        <v>28</v>
      </c>
      <c r="E198" s="3" t="s">
        <v>29</v>
      </c>
      <c r="F198" s="3">
        <v>220.0</v>
      </c>
      <c r="G198" s="4" t="s">
        <v>19</v>
      </c>
      <c r="H198" s="3">
        <v>52.66279376956652</v>
      </c>
      <c r="I198" s="3"/>
      <c r="J198" s="5"/>
    </row>
    <row r="199" ht="14.25" customHeight="1">
      <c r="A199" s="3" t="s">
        <v>26</v>
      </c>
      <c r="B199" s="3" t="s">
        <v>11</v>
      </c>
      <c r="C199" s="3" t="s">
        <v>12</v>
      </c>
      <c r="D199" s="3" t="s">
        <v>28</v>
      </c>
      <c r="E199" s="3" t="s">
        <v>29</v>
      </c>
      <c r="F199" s="3">
        <v>220.0</v>
      </c>
      <c r="G199" s="4" t="s">
        <v>20</v>
      </c>
      <c r="H199" s="3">
        <v>51.699989191508465</v>
      </c>
      <c r="I199" s="3"/>
      <c r="J199" s="5"/>
    </row>
    <row r="200" ht="14.25" customHeight="1">
      <c r="A200" s="3" t="s">
        <v>26</v>
      </c>
      <c r="B200" s="3" t="s">
        <v>11</v>
      </c>
      <c r="C200" s="3" t="s">
        <v>12</v>
      </c>
      <c r="D200" s="3" t="s">
        <v>28</v>
      </c>
      <c r="E200" s="3" t="s">
        <v>29</v>
      </c>
      <c r="F200" s="3">
        <v>220.0</v>
      </c>
      <c r="G200" s="4" t="s">
        <v>21</v>
      </c>
      <c r="H200" s="3">
        <v>54.42089951144519</v>
      </c>
      <c r="I200" s="3"/>
      <c r="J200" s="5"/>
    </row>
    <row r="201" ht="14.25" customHeight="1">
      <c r="A201" s="3" t="s">
        <v>26</v>
      </c>
      <c r="B201" s="3" t="s">
        <v>11</v>
      </c>
      <c r="C201" s="3" t="s">
        <v>12</v>
      </c>
      <c r="D201" s="3" t="s">
        <v>28</v>
      </c>
      <c r="E201" s="3" t="s">
        <v>29</v>
      </c>
      <c r="F201" s="3">
        <v>220.0</v>
      </c>
      <c r="G201" s="4" t="s">
        <v>22</v>
      </c>
      <c r="H201" s="3">
        <v>51.901667924588885</v>
      </c>
      <c r="I201" s="3"/>
      <c r="J201" s="5"/>
    </row>
    <row r="202" ht="14.25" customHeight="1">
      <c r="A202" s="3" t="s">
        <v>10</v>
      </c>
      <c r="B202" s="3" t="s">
        <v>11</v>
      </c>
      <c r="C202" s="3" t="s">
        <v>12</v>
      </c>
      <c r="D202" s="3" t="s">
        <v>30</v>
      </c>
      <c r="E202" s="3" t="s">
        <v>29</v>
      </c>
      <c r="F202" s="3">
        <v>220.0</v>
      </c>
      <c r="G202" s="4" t="s">
        <v>15</v>
      </c>
      <c r="H202" s="3">
        <v>50.7531560289479</v>
      </c>
      <c r="I202" s="3"/>
      <c r="J202" s="5"/>
    </row>
    <row r="203" ht="14.25" customHeight="1">
      <c r="A203" s="3" t="s">
        <v>10</v>
      </c>
      <c r="B203" s="3" t="s">
        <v>11</v>
      </c>
      <c r="C203" s="3" t="s">
        <v>12</v>
      </c>
      <c r="D203" s="3" t="s">
        <v>30</v>
      </c>
      <c r="E203" s="3" t="s">
        <v>29</v>
      </c>
      <c r="F203" s="3">
        <v>220.0</v>
      </c>
      <c r="G203" s="4" t="s">
        <v>16</v>
      </c>
      <c r="H203" s="3">
        <v>48.14018040238753</v>
      </c>
      <c r="I203" s="3"/>
      <c r="J203" s="5"/>
    </row>
    <row r="204" ht="14.25" customHeight="1">
      <c r="A204" s="3" t="s">
        <v>10</v>
      </c>
      <c r="B204" s="3" t="s">
        <v>11</v>
      </c>
      <c r="C204" s="3" t="s">
        <v>12</v>
      </c>
      <c r="D204" s="3" t="s">
        <v>30</v>
      </c>
      <c r="E204" s="3" t="s">
        <v>29</v>
      </c>
      <c r="F204" s="3">
        <v>220.0</v>
      </c>
      <c r="G204" s="4" t="s">
        <v>17</v>
      </c>
      <c r="H204" s="3">
        <v>46.331366582313706</v>
      </c>
      <c r="I204" s="3"/>
      <c r="J204" s="5"/>
    </row>
    <row r="205" ht="14.25" customHeight="1">
      <c r="A205" s="3" t="s">
        <v>10</v>
      </c>
      <c r="B205" s="3" t="s">
        <v>11</v>
      </c>
      <c r="C205" s="3" t="s">
        <v>12</v>
      </c>
      <c r="D205" s="3" t="s">
        <v>30</v>
      </c>
      <c r="E205" s="3" t="s">
        <v>29</v>
      </c>
      <c r="F205" s="3">
        <v>220.0</v>
      </c>
      <c r="G205" s="4" t="s">
        <v>18</v>
      </c>
      <c r="H205" s="3">
        <v>50.76052504444712</v>
      </c>
      <c r="I205" s="3"/>
      <c r="J205" s="5"/>
    </row>
    <row r="206" ht="14.25" customHeight="1">
      <c r="A206" s="3" t="s">
        <v>10</v>
      </c>
      <c r="B206" s="3" t="s">
        <v>11</v>
      </c>
      <c r="C206" s="3" t="s">
        <v>12</v>
      </c>
      <c r="D206" s="3" t="s">
        <v>30</v>
      </c>
      <c r="E206" s="3" t="s">
        <v>29</v>
      </c>
      <c r="F206" s="3">
        <v>220.0</v>
      </c>
      <c r="G206" s="4" t="s">
        <v>19</v>
      </c>
      <c r="H206" s="3">
        <v>55.46080523158844</v>
      </c>
      <c r="I206" s="3"/>
      <c r="J206" s="5"/>
    </row>
    <row r="207" ht="14.25" customHeight="1">
      <c r="A207" s="3" t="s">
        <v>10</v>
      </c>
      <c r="B207" s="3" t="s">
        <v>11</v>
      </c>
      <c r="C207" s="3" t="s">
        <v>12</v>
      </c>
      <c r="D207" s="3" t="s">
        <v>30</v>
      </c>
      <c r="E207" s="3" t="s">
        <v>29</v>
      </c>
      <c r="F207" s="3">
        <v>220.0</v>
      </c>
      <c r="G207" s="4" t="s">
        <v>20</v>
      </c>
      <c r="H207" s="3">
        <v>59.14384035449294</v>
      </c>
      <c r="I207" s="3"/>
      <c r="J207" s="5"/>
    </row>
    <row r="208" ht="14.25" customHeight="1">
      <c r="A208" s="3" t="s">
        <v>10</v>
      </c>
      <c r="B208" s="3" t="s">
        <v>11</v>
      </c>
      <c r="C208" s="3" t="s">
        <v>12</v>
      </c>
      <c r="D208" s="3" t="s">
        <v>30</v>
      </c>
      <c r="E208" s="3" t="s">
        <v>29</v>
      </c>
      <c r="F208" s="3">
        <v>220.0</v>
      </c>
      <c r="G208" s="4" t="s">
        <v>21</v>
      </c>
      <c r="H208" s="3">
        <v>58.42731620111539</v>
      </c>
      <c r="I208" s="3"/>
      <c r="J208" s="5"/>
    </row>
    <row r="209" ht="14.25" customHeight="1">
      <c r="A209" s="3" t="s">
        <v>10</v>
      </c>
      <c r="B209" s="3" t="s">
        <v>11</v>
      </c>
      <c r="C209" s="3" t="s">
        <v>12</v>
      </c>
      <c r="D209" s="3" t="s">
        <v>30</v>
      </c>
      <c r="E209" s="3" t="s">
        <v>29</v>
      </c>
      <c r="F209" s="3">
        <v>220.0</v>
      </c>
      <c r="G209" s="4" t="s">
        <v>22</v>
      </c>
      <c r="H209" s="3">
        <v>53.92013412041723</v>
      </c>
      <c r="I209" s="3"/>
      <c r="J209" s="5"/>
    </row>
    <row r="210" ht="14.25" customHeight="1">
      <c r="A210" s="3" t="s">
        <v>23</v>
      </c>
      <c r="B210" s="3" t="s">
        <v>11</v>
      </c>
      <c r="C210" s="3" t="s">
        <v>12</v>
      </c>
      <c r="D210" s="3" t="s">
        <v>30</v>
      </c>
      <c r="E210" s="3" t="s">
        <v>29</v>
      </c>
      <c r="F210" s="3">
        <v>220.0</v>
      </c>
      <c r="G210" s="4" t="s">
        <v>15</v>
      </c>
      <c r="H210" s="3">
        <v>160.8237150486563</v>
      </c>
      <c r="I210" s="3"/>
      <c r="J210" s="5"/>
    </row>
    <row r="211" ht="14.25" customHeight="1">
      <c r="A211" s="3" t="s">
        <v>23</v>
      </c>
      <c r="B211" s="3" t="s">
        <v>11</v>
      </c>
      <c r="C211" s="3" t="s">
        <v>12</v>
      </c>
      <c r="D211" s="3" t="s">
        <v>30</v>
      </c>
      <c r="E211" s="3" t="s">
        <v>29</v>
      </c>
      <c r="F211" s="3">
        <v>220.0</v>
      </c>
      <c r="G211" s="4" t="s">
        <v>16</v>
      </c>
      <c r="H211" s="3">
        <v>165.398108631644</v>
      </c>
      <c r="I211" s="3"/>
      <c r="J211" s="5"/>
    </row>
    <row r="212" ht="14.25" customHeight="1">
      <c r="A212" s="3" t="s">
        <v>23</v>
      </c>
      <c r="B212" s="3" t="s">
        <v>11</v>
      </c>
      <c r="C212" s="3" t="s">
        <v>12</v>
      </c>
      <c r="D212" s="3" t="s">
        <v>30</v>
      </c>
      <c r="E212" s="3" t="s">
        <v>29</v>
      </c>
      <c r="F212" s="3">
        <v>220.0</v>
      </c>
      <c r="G212" s="4" t="s">
        <v>17</v>
      </c>
      <c r="H212" s="3">
        <v>167.3795538614943</v>
      </c>
      <c r="I212" s="3"/>
      <c r="J212" s="5"/>
    </row>
    <row r="213" ht="14.25" customHeight="1">
      <c r="A213" s="3" t="s">
        <v>23</v>
      </c>
      <c r="B213" s="3" t="s">
        <v>11</v>
      </c>
      <c r="C213" s="3" t="s">
        <v>12</v>
      </c>
      <c r="D213" s="3" t="s">
        <v>30</v>
      </c>
      <c r="E213" s="3" t="s">
        <v>29</v>
      </c>
      <c r="F213" s="3">
        <v>220.0</v>
      </c>
      <c r="G213" s="4" t="s">
        <v>18</v>
      </c>
      <c r="H213" s="3">
        <v>188.58458305402425</v>
      </c>
      <c r="I213" s="3"/>
      <c r="J213" s="5"/>
    </row>
    <row r="214" ht="14.25" customHeight="1">
      <c r="A214" s="3" t="s">
        <v>23</v>
      </c>
      <c r="B214" s="3" t="s">
        <v>11</v>
      </c>
      <c r="C214" s="3" t="s">
        <v>12</v>
      </c>
      <c r="D214" s="3" t="s">
        <v>30</v>
      </c>
      <c r="E214" s="3" t="s">
        <v>29</v>
      </c>
      <c r="F214" s="3">
        <v>220.0</v>
      </c>
      <c r="G214" s="4" t="s">
        <v>19</v>
      </c>
      <c r="H214" s="3">
        <v>190.51678134273146</v>
      </c>
      <c r="I214" s="3"/>
      <c r="J214" s="5"/>
    </row>
    <row r="215" ht="14.25" customHeight="1">
      <c r="A215" s="3" t="s">
        <v>23</v>
      </c>
      <c r="B215" s="3" t="s">
        <v>11</v>
      </c>
      <c r="C215" s="3" t="s">
        <v>12</v>
      </c>
      <c r="D215" s="3" t="s">
        <v>30</v>
      </c>
      <c r="E215" s="3" t="s">
        <v>29</v>
      </c>
      <c r="F215" s="3">
        <v>220.0</v>
      </c>
      <c r="G215" s="4" t="s">
        <v>20</v>
      </c>
      <c r="H215" s="3">
        <v>192.349004565353</v>
      </c>
      <c r="I215" s="3"/>
      <c r="J215" s="5"/>
    </row>
    <row r="216" ht="14.25" customHeight="1">
      <c r="A216" s="3" t="s">
        <v>23</v>
      </c>
      <c r="B216" s="3" t="s">
        <v>11</v>
      </c>
      <c r="C216" s="3" t="s">
        <v>12</v>
      </c>
      <c r="D216" s="3" t="s">
        <v>30</v>
      </c>
      <c r="E216" s="3" t="s">
        <v>29</v>
      </c>
      <c r="F216" s="3">
        <v>220.0</v>
      </c>
      <c r="G216" s="4" t="s">
        <v>21</v>
      </c>
      <c r="H216" s="3">
        <v>188.01579154023193</v>
      </c>
      <c r="I216" s="3"/>
      <c r="J216" s="5"/>
    </row>
    <row r="217" ht="14.25" customHeight="1">
      <c r="A217" s="3" t="s">
        <v>23</v>
      </c>
      <c r="B217" s="3" t="s">
        <v>11</v>
      </c>
      <c r="C217" s="3" t="s">
        <v>12</v>
      </c>
      <c r="D217" s="3" t="s">
        <v>30</v>
      </c>
      <c r="E217" s="3" t="s">
        <v>29</v>
      </c>
      <c r="F217" s="3">
        <v>220.0</v>
      </c>
      <c r="G217" s="4" t="s">
        <v>22</v>
      </c>
      <c r="H217" s="3">
        <v>166.50302128142656</v>
      </c>
      <c r="I217" s="3"/>
      <c r="J217" s="5"/>
    </row>
    <row r="218" ht="14.25" customHeight="1">
      <c r="A218" s="3" t="s">
        <v>24</v>
      </c>
      <c r="B218" s="3" t="s">
        <v>11</v>
      </c>
      <c r="C218" s="3" t="s">
        <v>12</v>
      </c>
      <c r="D218" s="3" t="s">
        <v>30</v>
      </c>
      <c r="E218" s="3" t="s">
        <v>29</v>
      </c>
      <c r="F218" s="3">
        <v>220.0</v>
      </c>
      <c r="G218" s="4" t="s">
        <v>16</v>
      </c>
      <c r="H218" s="3">
        <v>0.011787438753596523</v>
      </c>
      <c r="I218" s="3"/>
      <c r="J218" s="5"/>
    </row>
    <row r="219" ht="14.25" customHeight="1">
      <c r="A219" s="3" t="s">
        <v>24</v>
      </c>
      <c r="B219" s="3" t="s">
        <v>11</v>
      </c>
      <c r="C219" s="3" t="s">
        <v>12</v>
      </c>
      <c r="D219" s="3" t="s">
        <v>30</v>
      </c>
      <c r="E219" s="3" t="s">
        <v>29</v>
      </c>
      <c r="F219" s="3">
        <v>220.0</v>
      </c>
      <c r="G219" s="4" t="s">
        <v>17</v>
      </c>
      <c r="H219" s="3">
        <v>3.3368385378502596</v>
      </c>
      <c r="I219" s="3"/>
      <c r="J219" s="5"/>
    </row>
    <row r="220" ht="14.25" customHeight="1">
      <c r="A220" s="3" t="s">
        <v>24</v>
      </c>
      <c r="B220" s="3" t="s">
        <v>11</v>
      </c>
      <c r="C220" s="3" t="s">
        <v>12</v>
      </c>
      <c r="D220" s="3" t="s">
        <v>30</v>
      </c>
      <c r="E220" s="3" t="s">
        <v>29</v>
      </c>
      <c r="F220" s="3">
        <v>220.0</v>
      </c>
      <c r="G220" s="4" t="s">
        <v>18</v>
      </c>
      <c r="H220" s="3">
        <v>12.339100591224787</v>
      </c>
      <c r="I220" s="3"/>
      <c r="J220" s="5"/>
    </row>
    <row r="221" ht="14.25" customHeight="1">
      <c r="A221" s="3" t="s">
        <v>24</v>
      </c>
      <c r="B221" s="3" t="s">
        <v>11</v>
      </c>
      <c r="C221" s="3" t="s">
        <v>12</v>
      </c>
      <c r="D221" s="3" t="s">
        <v>30</v>
      </c>
      <c r="E221" s="3" t="s">
        <v>29</v>
      </c>
      <c r="F221" s="3">
        <v>220.0</v>
      </c>
      <c r="G221" s="4" t="s">
        <v>19</v>
      </c>
      <c r="H221" s="3">
        <v>12.869792073787798</v>
      </c>
      <c r="I221" s="3"/>
      <c r="J221" s="5"/>
    </row>
    <row r="222" ht="14.25" customHeight="1">
      <c r="A222" s="3" t="s">
        <v>24</v>
      </c>
      <c r="B222" s="3" t="s">
        <v>11</v>
      </c>
      <c r="C222" s="3" t="s">
        <v>12</v>
      </c>
      <c r="D222" s="3" t="s">
        <v>30</v>
      </c>
      <c r="E222" s="3" t="s">
        <v>29</v>
      </c>
      <c r="F222" s="3">
        <v>220.0</v>
      </c>
      <c r="G222" s="4" t="s">
        <v>20</v>
      </c>
      <c r="H222" s="3">
        <v>16.554209833253736</v>
      </c>
      <c r="I222" s="3"/>
      <c r="J222" s="5"/>
    </row>
    <row r="223" ht="14.25" customHeight="1">
      <c r="A223" s="3" t="s">
        <v>24</v>
      </c>
      <c r="B223" s="3" t="s">
        <v>11</v>
      </c>
      <c r="C223" s="3" t="s">
        <v>12</v>
      </c>
      <c r="D223" s="3" t="s">
        <v>30</v>
      </c>
      <c r="E223" s="3" t="s">
        <v>29</v>
      </c>
      <c r="F223" s="3">
        <v>220.0</v>
      </c>
      <c r="G223" s="4" t="s">
        <v>21</v>
      </c>
      <c r="H223" s="3">
        <v>15.021359554161203</v>
      </c>
      <c r="I223" s="3"/>
      <c r="J223" s="5"/>
    </row>
    <row r="224" ht="14.25" customHeight="1">
      <c r="A224" s="3" t="s">
        <v>24</v>
      </c>
      <c r="B224" s="3" t="s">
        <v>11</v>
      </c>
      <c r="C224" s="3" t="s">
        <v>12</v>
      </c>
      <c r="D224" s="3" t="s">
        <v>30</v>
      </c>
      <c r="E224" s="3" t="s">
        <v>29</v>
      </c>
      <c r="F224" s="3">
        <v>220.0</v>
      </c>
      <c r="G224" s="4" t="s">
        <v>22</v>
      </c>
      <c r="H224" s="3">
        <v>10.636643876043625</v>
      </c>
      <c r="I224" s="3"/>
      <c r="J224" s="5"/>
    </row>
    <row r="225" ht="14.25" customHeight="1">
      <c r="A225" s="3" t="s">
        <v>25</v>
      </c>
      <c r="B225" s="3" t="s">
        <v>11</v>
      </c>
      <c r="C225" s="3" t="s">
        <v>12</v>
      </c>
      <c r="D225" s="3" t="s">
        <v>30</v>
      </c>
      <c r="E225" s="3" t="s">
        <v>29</v>
      </c>
      <c r="F225" s="3">
        <v>220.0</v>
      </c>
      <c r="G225" s="4" t="s">
        <v>15</v>
      </c>
      <c r="H225" s="3">
        <v>43.476126617787145</v>
      </c>
      <c r="I225" s="3"/>
      <c r="J225" s="5"/>
    </row>
    <row r="226" ht="14.25" customHeight="1">
      <c r="A226" s="3" t="s">
        <v>25</v>
      </c>
      <c r="B226" s="3" t="s">
        <v>11</v>
      </c>
      <c r="C226" s="3" t="s">
        <v>12</v>
      </c>
      <c r="D226" s="3" t="s">
        <v>30</v>
      </c>
      <c r="E226" s="3" t="s">
        <v>29</v>
      </c>
      <c r="F226" s="3">
        <v>220.0</v>
      </c>
      <c r="G226" s="4" t="s">
        <v>16</v>
      </c>
      <c r="H226" s="3">
        <v>44.204324122302474</v>
      </c>
      <c r="I226" s="3"/>
      <c r="J226" s="5"/>
    </row>
    <row r="227" ht="14.25" customHeight="1">
      <c r="A227" s="3" t="s">
        <v>25</v>
      </c>
      <c r="B227" s="3" t="s">
        <v>11</v>
      </c>
      <c r="C227" s="3" t="s">
        <v>12</v>
      </c>
      <c r="D227" s="3" t="s">
        <v>30</v>
      </c>
      <c r="E227" s="3" t="s">
        <v>29</v>
      </c>
      <c r="F227" s="3">
        <v>220.0</v>
      </c>
      <c r="G227" s="4" t="s">
        <v>17</v>
      </c>
      <c r="H227" s="3">
        <v>45.809038739747905</v>
      </c>
      <c r="I227" s="3"/>
      <c r="J227" s="5"/>
    </row>
    <row r="228" ht="14.25" customHeight="1">
      <c r="A228" s="3" t="s">
        <v>25</v>
      </c>
      <c r="B228" s="3" t="s">
        <v>11</v>
      </c>
      <c r="C228" s="3" t="s">
        <v>12</v>
      </c>
      <c r="D228" s="3" t="s">
        <v>30</v>
      </c>
      <c r="E228" s="3" t="s">
        <v>29</v>
      </c>
      <c r="F228" s="3">
        <v>220.0</v>
      </c>
      <c r="G228" s="4" t="s">
        <v>18</v>
      </c>
      <c r="H228" s="3">
        <v>49.0272521144764</v>
      </c>
      <c r="I228" s="3"/>
      <c r="J228" s="5"/>
    </row>
    <row r="229" ht="14.25" customHeight="1">
      <c r="A229" s="3" t="s">
        <v>25</v>
      </c>
      <c r="B229" s="3" t="s">
        <v>11</v>
      </c>
      <c r="C229" s="3" t="s">
        <v>12</v>
      </c>
      <c r="D229" s="3" t="s">
        <v>30</v>
      </c>
      <c r="E229" s="3" t="s">
        <v>29</v>
      </c>
      <c r="F229" s="3">
        <v>220.0</v>
      </c>
      <c r="G229" s="4" t="s">
        <v>19</v>
      </c>
      <c r="H229" s="3">
        <v>48.32299061221266</v>
      </c>
      <c r="I229" s="3"/>
      <c r="J229" s="5"/>
    </row>
    <row r="230" ht="14.25" customHeight="1">
      <c r="A230" s="3" t="s">
        <v>25</v>
      </c>
      <c r="B230" s="3" t="s">
        <v>11</v>
      </c>
      <c r="C230" s="3" t="s">
        <v>12</v>
      </c>
      <c r="D230" s="3" t="s">
        <v>30</v>
      </c>
      <c r="E230" s="3" t="s">
        <v>29</v>
      </c>
      <c r="F230" s="3">
        <v>220.0</v>
      </c>
      <c r="G230" s="4" t="s">
        <v>20</v>
      </c>
      <c r="H230" s="3">
        <v>50.2034837283588</v>
      </c>
      <c r="I230" s="3"/>
      <c r="J230" s="5"/>
    </row>
    <row r="231" ht="14.25" customHeight="1">
      <c r="A231" s="3" t="s">
        <v>25</v>
      </c>
      <c r="B231" s="3" t="s">
        <v>11</v>
      </c>
      <c r="C231" s="3" t="s">
        <v>12</v>
      </c>
      <c r="D231" s="3" t="s">
        <v>30</v>
      </c>
      <c r="E231" s="3" t="s">
        <v>29</v>
      </c>
      <c r="F231" s="3">
        <v>220.0</v>
      </c>
      <c r="G231" s="4" t="s">
        <v>21</v>
      </c>
      <c r="H231" s="3">
        <v>45.743350041659596</v>
      </c>
      <c r="I231" s="3"/>
      <c r="J231" s="5"/>
    </row>
    <row r="232" ht="14.25" customHeight="1">
      <c r="A232" s="3" t="s">
        <v>25</v>
      </c>
      <c r="B232" s="3" t="s">
        <v>11</v>
      </c>
      <c r="C232" s="3" t="s">
        <v>12</v>
      </c>
      <c r="D232" s="3" t="s">
        <v>30</v>
      </c>
      <c r="E232" s="3" t="s">
        <v>29</v>
      </c>
      <c r="F232" s="3">
        <v>220.0</v>
      </c>
      <c r="G232" s="4" t="s">
        <v>22</v>
      </c>
      <c r="H232" s="3">
        <v>43.038990840823466</v>
      </c>
      <c r="I232" s="3"/>
      <c r="J232" s="5"/>
    </row>
    <row r="233" ht="14.25" customHeight="1">
      <c r="A233" s="3" t="s">
        <v>26</v>
      </c>
      <c r="B233" s="3" t="s">
        <v>11</v>
      </c>
      <c r="C233" s="3" t="s">
        <v>12</v>
      </c>
      <c r="D233" s="3" t="s">
        <v>30</v>
      </c>
      <c r="E233" s="3" t="s">
        <v>29</v>
      </c>
      <c r="F233" s="3">
        <v>220.0</v>
      </c>
      <c r="G233" s="4" t="s">
        <v>15</v>
      </c>
      <c r="H233" s="3">
        <v>112.71012545647272</v>
      </c>
      <c r="I233" s="3"/>
      <c r="J233" s="5"/>
    </row>
    <row r="234" ht="14.25" customHeight="1">
      <c r="A234" s="3" t="s">
        <v>26</v>
      </c>
      <c r="B234" s="3" t="s">
        <v>11</v>
      </c>
      <c r="C234" s="3" t="s">
        <v>12</v>
      </c>
      <c r="D234" s="3" t="s">
        <v>30</v>
      </c>
      <c r="E234" s="3" t="s">
        <v>29</v>
      </c>
      <c r="F234" s="3">
        <v>220.0</v>
      </c>
      <c r="G234" s="4" t="s">
        <v>16</v>
      </c>
      <c r="H234" s="3">
        <v>115.52080243639922</v>
      </c>
      <c r="I234" s="3"/>
      <c r="J234" s="5"/>
    </row>
    <row r="235" ht="14.25" customHeight="1">
      <c r="A235" s="3" t="s">
        <v>26</v>
      </c>
      <c r="B235" s="3" t="s">
        <v>11</v>
      </c>
      <c r="C235" s="3" t="s">
        <v>12</v>
      </c>
      <c r="D235" s="3" t="s">
        <v>30</v>
      </c>
      <c r="E235" s="3" t="s">
        <v>29</v>
      </c>
      <c r="F235" s="3">
        <v>220.0</v>
      </c>
      <c r="G235" s="4" t="s">
        <v>17</v>
      </c>
      <c r="H235" s="3">
        <v>113.8719794778949</v>
      </c>
      <c r="I235" s="3"/>
      <c r="J235" s="5"/>
    </row>
    <row r="236" ht="14.25" customHeight="1">
      <c r="A236" s="3" t="s">
        <v>26</v>
      </c>
      <c r="B236" s="3" t="s">
        <v>11</v>
      </c>
      <c r="C236" s="3" t="s">
        <v>12</v>
      </c>
      <c r="D236" s="3" t="s">
        <v>30</v>
      </c>
      <c r="E236" s="3" t="s">
        <v>29</v>
      </c>
      <c r="F236" s="3">
        <v>220.0</v>
      </c>
      <c r="G236" s="4" t="s">
        <v>18</v>
      </c>
      <c r="H236" s="3">
        <v>125.95496521917049</v>
      </c>
      <c r="I236" s="3"/>
      <c r="J236" s="5"/>
    </row>
    <row r="237" ht="14.25" customHeight="1">
      <c r="A237" s="3" t="s">
        <v>26</v>
      </c>
      <c r="B237" s="3" t="s">
        <v>11</v>
      </c>
      <c r="C237" s="3" t="s">
        <v>12</v>
      </c>
      <c r="D237" s="3" t="s">
        <v>30</v>
      </c>
      <c r="E237" s="3" t="s">
        <v>29</v>
      </c>
      <c r="F237" s="3">
        <v>220.0</v>
      </c>
      <c r="G237" s="4" t="s">
        <v>19</v>
      </c>
      <c r="H237" s="3">
        <v>128.16826402053005</v>
      </c>
      <c r="I237" s="3"/>
      <c r="J237" s="5"/>
    </row>
    <row r="238" ht="14.25" customHeight="1">
      <c r="A238" s="3" t="s">
        <v>26</v>
      </c>
      <c r="B238" s="3" t="s">
        <v>11</v>
      </c>
      <c r="C238" s="3" t="s">
        <v>12</v>
      </c>
      <c r="D238" s="3" t="s">
        <v>30</v>
      </c>
      <c r="E238" s="3" t="s">
        <v>29</v>
      </c>
      <c r="F238" s="3">
        <v>220.0</v>
      </c>
      <c r="G238" s="4" t="s">
        <v>20</v>
      </c>
      <c r="H238" s="3">
        <v>124.79463862003313</v>
      </c>
      <c r="I238" s="3"/>
      <c r="J238" s="5"/>
    </row>
    <row r="239" ht="14.25" customHeight="1">
      <c r="A239" s="3" t="s">
        <v>26</v>
      </c>
      <c r="B239" s="3" t="s">
        <v>11</v>
      </c>
      <c r="C239" s="3" t="s">
        <v>12</v>
      </c>
      <c r="D239" s="3" t="s">
        <v>30</v>
      </c>
      <c r="E239" s="3" t="s">
        <v>29</v>
      </c>
      <c r="F239" s="3">
        <v>220.0</v>
      </c>
      <c r="G239" s="4" t="s">
        <v>21</v>
      </c>
      <c r="H239" s="3">
        <v>126.7407601002672</v>
      </c>
      <c r="I239" s="3"/>
      <c r="J239" s="5"/>
    </row>
    <row r="240" ht="14.25" customHeight="1">
      <c r="A240" s="3" t="s">
        <v>26</v>
      </c>
      <c r="B240" s="3" t="s">
        <v>11</v>
      </c>
      <c r="C240" s="3" t="s">
        <v>12</v>
      </c>
      <c r="D240" s="3" t="s">
        <v>30</v>
      </c>
      <c r="E240" s="3" t="s">
        <v>29</v>
      </c>
      <c r="F240" s="3">
        <v>220.0</v>
      </c>
      <c r="G240" s="4" t="s">
        <v>22</v>
      </c>
      <c r="H240" s="3">
        <v>112.22052988694699</v>
      </c>
      <c r="I240" s="3"/>
      <c r="J240" s="5"/>
    </row>
    <row r="241" ht="14.25" customHeight="1">
      <c r="A241" s="3" t="s">
        <v>10</v>
      </c>
      <c r="B241" s="3" t="s">
        <v>11</v>
      </c>
      <c r="C241" s="3" t="s">
        <v>12</v>
      </c>
      <c r="D241" s="3" t="s">
        <v>31</v>
      </c>
      <c r="E241" s="3" t="s">
        <v>29</v>
      </c>
      <c r="F241" s="3">
        <v>220.0</v>
      </c>
      <c r="G241" s="4" t="s">
        <v>15</v>
      </c>
      <c r="H241" s="3">
        <v>7.79601662770834</v>
      </c>
      <c r="I241" s="3"/>
      <c r="J241" s="5"/>
    </row>
    <row r="242" ht="14.25" customHeight="1">
      <c r="A242" s="3" t="s">
        <v>10</v>
      </c>
      <c r="B242" s="3" t="s">
        <v>11</v>
      </c>
      <c r="C242" s="3" t="s">
        <v>12</v>
      </c>
      <c r="D242" s="3" t="s">
        <v>31</v>
      </c>
      <c r="E242" s="3" t="s">
        <v>29</v>
      </c>
      <c r="F242" s="3">
        <v>220.0</v>
      </c>
      <c r="G242" s="4" t="s">
        <v>16</v>
      </c>
      <c r="H242" s="3">
        <v>8.467198446881099</v>
      </c>
      <c r="I242" s="3"/>
      <c r="J242" s="5"/>
    </row>
    <row r="243" ht="14.25" customHeight="1">
      <c r="A243" s="3" t="s">
        <v>10</v>
      </c>
      <c r="B243" s="3" t="s">
        <v>11</v>
      </c>
      <c r="C243" s="3" t="s">
        <v>12</v>
      </c>
      <c r="D243" s="3" t="s">
        <v>31</v>
      </c>
      <c r="E243" s="3" t="s">
        <v>29</v>
      </c>
      <c r="F243" s="3">
        <v>220.0</v>
      </c>
      <c r="G243" s="4" t="s">
        <v>17</v>
      </c>
      <c r="H243" s="3">
        <v>9.306815405708178</v>
      </c>
      <c r="I243" s="3"/>
      <c r="J243" s="5"/>
    </row>
    <row r="244" ht="14.25" customHeight="1">
      <c r="A244" s="3" t="s">
        <v>10</v>
      </c>
      <c r="B244" s="3" t="s">
        <v>11</v>
      </c>
      <c r="C244" s="3" t="s">
        <v>12</v>
      </c>
      <c r="D244" s="3" t="s">
        <v>31</v>
      </c>
      <c r="E244" s="3" t="s">
        <v>29</v>
      </c>
      <c r="F244" s="3">
        <v>220.0</v>
      </c>
      <c r="G244" s="4" t="s">
        <v>18</v>
      </c>
      <c r="H244" s="3">
        <v>10.133466215582374</v>
      </c>
      <c r="I244" s="3"/>
      <c r="J244" s="5"/>
    </row>
    <row r="245" ht="14.25" customHeight="1">
      <c r="A245" s="3" t="s">
        <v>10</v>
      </c>
      <c r="B245" s="3" t="s">
        <v>11</v>
      </c>
      <c r="C245" s="3" t="s">
        <v>12</v>
      </c>
      <c r="D245" s="3" t="s">
        <v>31</v>
      </c>
      <c r="E245" s="3" t="s">
        <v>29</v>
      </c>
      <c r="F245" s="3">
        <v>220.0</v>
      </c>
      <c r="G245" s="4" t="s">
        <v>19</v>
      </c>
      <c r="H245" s="3">
        <v>11.337583580236107</v>
      </c>
      <c r="I245" s="3"/>
      <c r="J245" s="5"/>
    </row>
    <row r="246" ht="14.25" customHeight="1">
      <c r="A246" s="3" t="s">
        <v>10</v>
      </c>
      <c r="B246" s="3" t="s">
        <v>11</v>
      </c>
      <c r="C246" s="3" t="s">
        <v>12</v>
      </c>
      <c r="D246" s="3" t="s">
        <v>31</v>
      </c>
      <c r="E246" s="3" t="s">
        <v>29</v>
      </c>
      <c r="F246" s="3">
        <v>220.0</v>
      </c>
      <c r="G246" s="4" t="s">
        <v>20</v>
      </c>
      <c r="H246" s="3">
        <v>12.63609830047347</v>
      </c>
      <c r="I246" s="3"/>
      <c r="J246" s="5"/>
    </row>
    <row r="247" ht="14.25" customHeight="1">
      <c r="A247" s="3" t="s">
        <v>10</v>
      </c>
      <c r="B247" s="3" t="s">
        <v>11</v>
      </c>
      <c r="C247" s="3" t="s">
        <v>12</v>
      </c>
      <c r="D247" s="3" t="s">
        <v>31</v>
      </c>
      <c r="E247" s="3" t="s">
        <v>29</v>
      </c>
      <c r="F247" s="3">
        <v>220.0</v>
      </c>
      <c r="G247" s="4" t="s">
        <v>21</v>
      </c>
      <c r="H247" s="3">
        <v>11.802440982026702</v>
      </c>
      <c r="I247" s="3"/>
      <c r="J247" s="5"/>
    </row>
    <row r="248" ht="14.25" customHeight="1">
      <c r="A248" s="3" t="s">
        <v>10</v>
      </c>
      <c r="B248" s="3" t="s">
        <v>11</v>
      </c>
      <c r="C248" s="3" t="s">
        <v>12</v>
      </c>
      <c r="D248" s="3" t="s">
        <v>31</v>
      </c>
      <c r="E248" s="3" t="s">
        <v>29</v>
      </c>
      <c r="F248" s="3">
        <v>220.0</v>
      </c>
      <c r="G248" s="4" t="s">
        <v>22</v>
      </c>
      <c r="H248" s="3">
        <v>10.199347594850565</v>
      </c>
      <c r="I248" s="3"/>
      <c r="J248" s="5"/>
    </row>
    <row r="249" ht="14.25" customHeight="1">
      <c r="A249" s="3" t="s">
        <v>23</v>
      </c>
      <c r="B249" s="3" t="s">
        <v>11</v>
      </c>
      <c r="C249" s="3" t="s">
        <v>12</v>
      </c>
      <c r="D249" s="3" t="s">
        <v>31</v>
      </c>
      <c r="E249" s="3" t="s">
        <v>29</v>
      </c>
      <c r="F249" s="3">
        <v>220.0</v>
      </c>
      <c r="G249" s="4" t="s">
        <v>15</v>
      </c>
      <c r="H249" s="3">
        <v>41.528367134918156</v>
      </c>
      <c r="I249" s="3"/>
      <c r="J249" s="5"/>
    </row>
    <row r="250" ht="14.25" customHeight="1">
      <c r="A250" s="3" t="s">
        <v>23</v>
      </c>
      <c r="B250" s="3" t="s">
        <v>11</v>
      </c>
      <c r="C250" s="3" t="s">
        <v>12</v>
      </c>
      <c r="D250" s="3" t="s">
        <v>31</v>
      </c>
      <c r="E250" s="3" t="s">
        <v>29</v>
      </c>
      <c r="F250" s="3">
        <v>220.0</v>
      </c>
      <c r="G250" s="4" t="s">
        <v>16</v>
      </c>
      <c r="H250" s="3">
        <v>44.54856988728105</v>
      </c>
      <c r="I250" s="3"/>
      <c r="J250" s="5"/>
    </row>
    <row r="251" ht="14.25" customHeight="1">
      <c r="A251" s="3" t="s">
        <v>23</v>
      </c>
      <c r="B251" s="3" t="s">
        <v>11</v>
      </c>
      <c r="C251" s="3" t="s">
        <v>12</v>
      </c>
      <c r="D251" s="3" t="s">
        <v>31</v>
      </c>
      <c r="E251" s="3" t="s">
        <v>29</v>
      </c>
      <c r="F251" s="3">
        <v>220.0</v>
      </c>
      <c r="G251" s="4" t="s">
        <v>17</v>
      </c>
      <c r="H251" s="3">
        <v>45.21153947565724</v>
      </c>
      <c r="I251" s="3"/>
      <c r="J251" s="5"/>
    </row>
    <row r="252" ht="14.25" customHeight="1">
      <c r="A252" s="3" t="s">
        <v>23</v>
      </c>
      <c r="B252" s="3" t="s">
        <v>11</v>
      </c>
      <c r="C252" s="3" t="s">
        <v>12</v>
      </c>
      <c r="D252" s="3" t="s">
        <v>31</v>
      </c>
      <c r="E252" s="3" t="s">
        <v>29</v>
      </c>
      <c r="F252" s="3">
        <v>220.0</v>
      </c>
      <c r="G252" s="4" t="s">
        <v>18</v>
      </c>
      <c r="H252" s="3">
        <v>48.56814742940628</v>
      </c>
      <c r="I252" s="3"/>
      <c r="J252" s="5"/>
    </row>
    <row r="253" ht="14.25" customHeight="1">
      <c r="A253" s="3" t="s">
        <v>23</v>
      </c>
      <c r="B253" s="3" t="s">
        <v>11</v>
      </c>
      <c r="C253" s="3" t="s">
        <v>12</v>
      </c>
      <c r="D253" s="3" t="s">
        <v>31</v>
      </c>
      <c r="E253" s="3" t="s">
        <v>29</v>
      </c>
      <c r="F253" s="3">
        <v>220.0</v>
      </c>
      <c r="G253" s="4" t="s">
        <v>19</v>
      </c>
      <c r="H253" s="3">
        <v>52.757063541640825</v>
      </c>
      <c r="I253" s="3"/>
      <c r="J253" s="5"/>
    </row>
    <row r="254" ht="14.25" customHeight="1">
      <c r="A254" s="3" t="s">
        <v>23</v>
      </c>
      <c r="B254" s="3" t="s">
        <v>11</v>
      </c>
      <c r="C254" s="3" t="s">
        <v>12</v>
      </c>
      <c r="D254" s="3" t="s">
        <v>31</v>
      </c>
      <c r="E254" s="3" t="s">
        <v>29</v>
      </c>
      <c r="F254" s="3">
        <v>220.0</v>
      </c>
      <c r="G254" s="4" t="s">
        <v>20</v>
      </c>
      <c r="H254" s="3">
        <v>48.77722226088209</v>
      </c>
      <c r="I254" s="3"/>
      <c r="J254" s="5"/>
    </row>
    <row r="255" ht="14.25" customHeight="1">
      <c r="A255" s="3" t="s">
        <v>23</v>
      </c>
      <c r="B255" s="3" t="s">
        <v>11</v>
      </c>
      <c r="C255" s="3" t="s">
        <v>12</v>
      </c>
      <c r="D255" s="3" t="s">
        <v>31</v>
      </c>
      <c r="E255" s="3" t="s">
        <v>29</v>
      </c>
      <c r="F255" s="3">
        <v>220.0</v>
      </c>
      <c r="G255" s="4" t="s">
        <v>21</v>
      </c>
      <c r="H255" s="3">
        <v>46.19926288418476</v>
      </c>
      <c r="I255" s="3"/>
      <c r="J255" s="5"/>
    </row>
    <row r="256" ht="14.25" customHeight="1">
      <c r="A256" s="3" t="s">
        <v>23</v>
      </c>
      <c r="B256" s="3" t="s">
        <v>11</v>
      </c>
      <c r="C256" s="3" t="s">
        <v>12</v>
      </c>
      <c r="D256" s="3" t="s">
        <v>31</v>
      </c>
      <c r="E256" s="3" t="s">
        <v>29</v>
      </c>
      <c r="F256" s="3">
        <v>220.0</v>
      </c>
      <c r="G256" s="4" t="s">
        <v>22</v>
      </c>
      <c r="H256" s="3">
        <v>42.64304179785663</v>
      </c>
      <c r="I256" s="3"/>
      <c r="J256" s="5"/>
    </row>
    <row r="257" ht="14.25" customHeight="1">
      <c r="A257" s="3" t="s">
        <v>24</v>
      </c>
      <c r="B257" s="3" t="s">
        <v>11</v>
      </c>
      <c r="C257" s="3" t="s">
        <v>12</v>
      </c>
      <c r="D257" s="3" t="s">
        <v>31</v>
      </c>
      <c r="E257" s="3" t="s">
        <v>29</v>
      </c>
      <c r="F257" s="3">
        <v>220.0</v>
      </c>
      <c r="G257" s="4" t="s">
        <v>17</v>
      </c>
      <c r="H257" s="3">
        <v>0.4436452060933873</v>
      </c>
      <c r="I257" s="3"/>
      <c r="J257" s="5"/>
    </row>
    <row r="258" ht="14.25" customHeight="1">
      <c r="A258" s="3" t="s">
        <v>24</v>
      </c>
      <c r="B258" s="3" t="s">
        <v>11</v>
      </c>
      <c r="C258" s="3" t="s">
        <v>12</v>
      </c>
      <c r="D258" s="3" t="s">
        <v>31</v>
      </c>
      <c r="E258" s="3" t="s">
        <v>29</v>
      </c>
      <c r="F258" s="3">
        <v>220.0</v>
      </c>
      <c r="G258" s="4" t="s">
        <v>18</v>
      </c>
      <c r="H258" s="3">
        <v>2.3107336725899574</v>
      </c>
      <c r="I258" s="3"/>
      <c r="J258" s="5"/>
    </row>
    <row r="259" ht="14.25" customHeight="1">
      <c r="A259" s="3" t="s">
        <v>24</v>
      </c>
      <c r="B259" s="3" t="s">
        <v>11</v>
      </c>
      <c r="C259" s="3" t="s">
        <v>12</v>
      </c>
      <c r="D259" s="3" t="s">
        <v>31</v>
      </c>
      <c r="E259" s="3" t="s">
        <v>29</v>
      </c>
      <c r="F259" s="3">
        <v>220.0</v>
      </c>
      <c r="G259" s="4" t="s">
        <v>19</v>
      </c>
      <c r="H259" s="3">
        <v>2.2776737816352077</v>
      </c>
      <c r="I259" s="3"/>
      <c r="J259" s="5"/>
    </row>
    <row r="260" ht="14.25" customHeight="1">
      <c r="A260" s="3" t="s">
        <v>24</v>
      </c>
      <c r="B260" s="3" t="s">
        <v>11</v>
      </c>
      <c r="C260" s="3" t="s">
        <v>12</v>
      </c>
      <c r="D260" s="3" t="s">
        <v>31</v>
      </c>
      <c r="E260" s="3" t="s">
        <v>29</v>
      </c>
      <c r="F260" s="3">
        <v>220.0</v>
      </c>
      <c r="G260" s="4" t="s">
        <v>20</v>
      </c>
      <c r="H260" s="3">
        <v>2.679059844132596</v>
      </c>
      <c r="I260" s="3"/>
      <c r="J260" s="5"/>
    </row>
    <row r="261" ht="14.25" customHeight="1">
      <c r="A261" s="3" t="s">
        <v>24</v>
      </c>
      <c r="B261" s="3" t="s">
        <v>11</v>
      </c>
      <c r="C261" s="3" t="s">
        <v>12</v>
      </c>
      <c r="D261" s="3" t="s">
        <v>31</v>
      </c>
      <c r="E261" s="3" t="s">
        <v>29</v>
      </c>
      <c r="F261" s="3">
        <v>220.0</v>
      </c>
      <c r="G261" s="4" t="s">
        <v>21</v>
      </c>
      <c r="H261" s="3">
        <v>2.127687839639711</v>
      </c>
      <c r="I261" s="3"/>
      <c r="J261" s="5"/>
    </row>
    <row r="262" ht="14.25" customHeight="1">
      <c r="A262" s="3" t="s">
        <v>24</v>
      </c>
      <c r="B262" s="3" t="s">
        <v>11</v>
      </c>
      <c r="C262" s="3" t="s">
        <v>12</v>
      </c>
      <c r="D262" s="3" t="s">
        <v>31</v>
      </c>
      <c r="E262" s="3" t="s">
        <v>29</v>
      </c>
      <c r="F262" s="3">
        <v>220.0</v>
      </c>
      <c r="G262" s="4" t="s">
        <v>22</v>
      </c>
      <c r="H262" s="3">
        <v>1.9481081162946017</v>
      </c>
      <c r="I262" s="3"/>
      <c r="J262" s="5"/>
    </row>
    <row r="263" ht="14.25" customHeight="1">
      <c r="A263" s="3" t="s">
        <v>25</v>
      </c>
      <c r="B263" s="3" t="s">
        <v>11</v>
      </c>
      <c r="C263" s="3" t="s">
        <v>12</v>
      </c>
      <c r="D263" s="3" t="s">
        <v>31</v>
      </c>
      <c r="E263" s="3" t="s">
        <v>29</v>
      </c>
      <c r="F263" s="3">
        <v>220.0</v>
      </c>
      <c r="G263" s="4" t="s">
        <v>15</v>
      </c>
      <c r="H263" s="3">
        <v>3.364449966020273</v>
      </c>
      <c r="I263" s="3"/>
      <c r="J263" s="5"/>
    </row>
    <row r="264" ht="14.25" customHeight="1">
      <c r="A264" s="3" t="s">
        <v>25</v>
      </c>
      <c r="B264" s="3" t="s">
        <v>11</v>
      </c>
      <c r="C264" s="3" t="s">
        <v>12</v>
      </c>
      <c r="D264" s="3" t="s">
        <v>31</v>
      </c>
      <c r="E264" s="3" t="s">
        <v>29</v>
      </c>
      <c r="F264" s="3">
        <v>220.0</v>
      </c>
      <c r="G264" s="4" t="s">
        <v>16</v>
      </c>
      <c r="H264" s="3">
        <v>2.920090376674555</v>
      </c>
      <c r="I264" s="3"/>
      <c r="J264" s="5"/>
    </row>
    <row r="265" ht="14.25" customHeight="1">
      <c r="A265" s="3" t="s">
        <v>25</v>
      </c>
      <c r="B265" s="3" t="s">
        <v>11</v>
      </c>
      <c r="C265" s="3" t="s">
        <v>12</v>
      </c>
      <c r="D265" s="3" t="s">
        <v>31</v>
      </c>
      <c r="E265" s="3" t="s">
        <v>29</v>
      </c>
      <c r="F265" s="3">
        <v>220.0</v>
      </c>
      <c r="G265" s="4" t="s">
        <v>17</v>
      </c>
      <c r="H265" s="3">
        <v>3.8430422471195578</v>
      </c>
      <c r="I265" s="3"/>
      <c r="J265" s="5"/>
    </row>
    <row r="266" ht="14.25" customHeight="1">
      <c r="A266" s="3" t="s">
        <v>25</v>
      </c>
      <c r="B266" s="3" t="s">
        <v>11</v>
      </c>
      <c r="C266" s="3" t="s">
        <v>12</v>
      </c>
      <c r="D266" s="3" t="s">
        <v>31</v>
      </c>
      <c r="E266" s="3" t="s">
        <v>29</v>
      </c>
      <c r="F266" s="3">
        <v>220.0</v>
      </c>
      <c r="G266" s="4" t="s">
        <v>18</v>
      </c>
      <c r="H266" s="3">
        <v>5.935114991040649</v>
      </c>
      <c r="I266" s="3"/>
      <c r="J266" s="5"/>
    </row>
    <row r="267" ht="14.25" customHeight="1">
      <c r="A267" s="3" t="s">
        <v>25</v>
      </c>
      <c r="B267" s="3" t="s">
        <v>11</v>
      </c>
      <c r="C267" s="3" t="s">
        <v>12</v>
      </c>
      <c r="D267" s="3" t="s">
        <v>31</v>
      </c>
      <c r="E267" s="3" t="s">
        <v>29</v>
      </c>
      <c r="F267" s="3">
        <v>220.0</v>
      </c>
      <c r="G267" s="4" t="s">
        <v>19</v>
      </c>
      <c r="H267" s="3">
        <v>6.8790610811686665</v>
      </c>
      <c r="I267" s="3"/>
      <c r="J267" s="5"/>
    </row>
    <row r="268" ht="14.25" customHeight="1">
      <c r="A268" s="3" t="s">
        <v>25</v>
      </c>
      <c r="B268" s="3" t="s">
        <v>11</v>
      </c>
      <c r="C268" s="3" t="s">
        <v>12</v>
      </c>
      <c r="D268" s="3" t="s">
        <v>31</v>
      </c>
      <c r="E268" s="3" t="s">
        <v>29</v>
      </c>
      <c r="F268" s="3">
        <v>220.0</v>
      </c>
      <c r="G268" s="4" t="s">
        <v>20</v>
      </c>
      <c r="H268" s="3">
        <v>6.022757728247202</v>
      </c>
      <c r="I268" s="3"/>
      <c r="J268" s="5"/>
    </row>
    <row r="269" ht="14.25" customHeight="1">
      <c r="A269" s="3" t="s">
        <v>25</v>
      </c>
      <c r="B269" s="3" t="s">
        <v>11</v>
      </c>
      <c r="C269" s="3" t="s">
        <v>12</v>
      </c>
      <c r="D269" s="3" t="s">
        <v>31</v>
      </c>
      <c r="E269" s="3" t="s">
        <v>29</v>
      </c>
      <c r="F269" s="3">
        <v>220.0</v>
      </c>
      <c r="G269" s="4" t="s">
        <v>21</v>
      </c>
      <c r="H269" s="3">
        <v>4.557292976091769</v>
      </c>
      <c r="I269" s="3"/>
      <c r="J269" s="5"/>
    </row>
    <row r="270" ht="14.25" customHeight="1">
      <c r="A270" s="3" t="s">
        <v>25</v>
      </c>
      <c r="B270" s="3" t="s">
        <v>11</v>
      </c>
      <c r="C270" s="3" t="s">
        <v>12</v>
      </c>
      <c r="D270" s="3" t="s">
        <v>31</v>
      </c>
      <c r="E270" s="3" t="s">
        <v>29</v>
      </c>
      <c r="F270" s="3">
        <v>220.0</v>
      </c>
      <c r="G270" s="4" t="s">
        <v>22</v>
      </c>
      <c r="H270" s="3">
        <v>3.9875501894749634</v>
      </c>
      <c r="I270" s="3"/>
      <c r="J270" s="5"/>
    </row>
    <row r="271" ht="14.25" customHeight="1">
      <c r="A271" s="3" t="s">
        <v>26</v>
      </c>
      <c r="B271" s="3" t="s">
        <v>11</v>
      </c>
      <c r="C271" s="3" t="s">
        <v>12</v>
      </c>
      <c r="D271" s="3" t="s">
        <v>31</v>
      </c>
      <c r="E271" s="3" t="s">
        <v>29</v>
      </c>
      <c r="F271" s="3">
        <v>220.0</v>
      </c>
      <c r="G271" s="4" t="s">
        <v>15</v>
      </c>
      <c r="H271" s="3">
        <v>37.131904089187785</v>
      </c>
      <c r="I271" s="3"/>
      <c r="J271" s="5"/>
    </row>
    <row r="272" ht="14.25" customHeight="1">
      <c r="A272" s="3" t="s">
        <v>26</v>
      </c>
      <c r="B272" s="3" t="s">
        <v>11</v>
      </c>
      <c r="C272" s="3" t="s">
        <v>12</v>
      </c>
      <c r="D272" s="3" t="s">
        <v>31</v>
      </c>
      <c r="E272" s="3" t="s">
        <v>29</v>
      </c>
      <c r="F272" s="3">
        <v>220.0</v>
      </c>
      <c r="G272" s="4" t="s">
        <v>16</v>
      </c>
      <c r="H272" s="3">
        <v>40.03729124686512</v>
      </c>
      <c r="I272" s="3"/>
      <c r="J272" s="5"/>
    </row>
    <row r="273" ht="14.25" customHeight="1">
      <c r="A273" s="3" t="s">
        <v>26</v>
      </c>
      <c r="B273" s="3" t="s">
        <v>11</v>
      </c>
      <c r="C273" s="3" t="s">
        <v>12</v>
      </c>
      <c r="D273" s="3" t="s">
        <v>31</v>
      </c>
      <c r="E273" s="3" t="s">
        <v>29</v>
      </c>
      <c r="F273" s="3">
        <v>220.0</v>
      </c>
      <c r="G273" s="4" t="s">
        <v>17</v>
      </c>
      <c r="H273" s="3">
        <v>39.564641492196614</v>
      </c>
      <c r="I273" s="3"/>
      <c r="J273" s="5"/>
    </row>
    <row r="274" ht="14.25" customHeight="1">
      <c r="A274" s="3" t="s">
        <v>26</v>
      </c>
      <c r="B274" s="3" t="s">
        <v>11</v>
      </c>
      <c r="C274" s="3" t="s">
        <v>12</v>
      </c>
      <c r="D274" s="3" t="s">
        <v>31</v>
      </c>
      <c r="E274" s="3" t="s">
        <v>29</v>
      </c>
      <c r="F274" s="3">
        <v>220.0</v>
      </c>
      <c r="G274" s="4" t="s">
        <v>18</v>
      </c>
      <c r="H274" s="3">
        <v>40.03065703993253</v>
      </c>
      <c r="I274" s="3"/>
      <c r="J274" s="5"/>
    </row>
    <row r="275" ht="14.25" customHeight="1">
      <c r="A275" s="3" t="s">
        <v>26</v>
      </c>
      <c r="B275" s="3" t="s">
        <v>11</v>
      </c>
      <c r="C275" s="3" t="s">
        <v>12</v>
      </c>
      <c r="D275" s="3" t="s">
        <v>31</v>
      </c>
      <c r="E275" s="3" t="s">
        <v>29</v>
      </c>
      <c r="F275" s="3">
        <v>220.0</v>
      </c>
      <c r="G275" s="4" t="s">
        <v>19</v>
      </c>
      <c r="H275" s="3">
        <v>43.31509497131907</v>
      </c>
      <c r="I275" s="3"/>
      <c r="J275" s="5"/>
    </row>
    <row r="276" ht="14.25" customHeight="1">
      <c r="A276" s="3" t="s">
        <v>26</v>
      </c>
      <c r="B276" s="3" t="s">
        <v>11</v>
      </c>
      <c r="C276" s="3" t="s">
        <v>12</v>
      </c>
      <c r="D276" s="3" t="s">
        <v>31</v>
      </c>
      <c r="E276" s="3" t="s">
        <v>29</v>
      </c>
      <c r="F276" s="3">
        <v>220.0</v>
      </c>
      <c r="G276" s="4" t="s">
        <v>20</v>
      </c>
      <c r="H276" s="3">
        <v>39.86297121446274</v>
      </c>
      <c r="I276" s="3"/>
      <c r="J276" s="5"/>
    </row>
    <row r="277" ht="14.25" customHeight="1">
      <c r="A277" s="3" t="s">
        <v>26</v>
      </c>
      <c r="B277" s="3" t="s">
        <v>11</v>
      </c>
      <c r="C277" s="3" t="s">
        <v>12</v>
      </c>
      <c r="D277" s="3" t="s">
        <v>31</v>
      </c>
      <c r="E277" s="3" t="s">
        <v>29</v>
      </c>
      <c r="F277" s="3">
        <v>220.0</v>
      </c>
      <c r="G277" s="4" t="s">
        <v>21</v>
      </c>
      <c r="H277" s="3">
        <v>39.33577862077629</v>
      </c>
      <c r="I277" s="3"/>
      <c r="J277" s="5"/>
    </row>
    <row r="278" ht="14.25" customHeight="1">
      <c r="A278" s="3" t="s">
        <v>26</v>
      </c>
      <c r="B278" s="3" t="s">
        <v>11</v>
      </c>
      <c r="C278" s="3" t="s">
        <v>12</v>
      </c>
      <c r="D278" s="3" t="s">
        <v>31</v>
      </c>
      <c r="E278" s="3" t="s">
        <v>29</v>
      </c>
      <c r="F278" s="3">
        <v>220.0</v>
      </c>
      <c r="G278" s="4" t="s">
        <v>22</v>
      </c>
      <c r="H278" s="3">
        <v>36.47599821092286</v>
      </c>
      <c r="I278" s="3"/>
      <c r="J278" s="5"/>
    </row>
    <row r="279" ht="14.25" customHeight="1">
      <c r="A279" s="3" t="s">
        <v>10</v>
      </c>
      <c r="B279" s="3" t="s">
        <v>11</v>
      </c>
      <c r="C279" s="3" t="s">
        <v>12</v>
      </c>
      <c r="D279" s="3" t="s">
        <v>13</v>
      </c>
      <c r="E279" s="3" t="s">
        <v>29</v>
      </c>
      <c r="F279" s="3">
        <v>220.0</v>
      </c>
      <c r="G279" s="4" t="s">
        <v>15</v>
      </c>
      <c r="H279" s="3">
        <v>121.10239684022088</v>
      </c>
      <c r="I279" s="3"/>
      <c r="J279" s="5"/>
    </row>
    <row r="280" ht="14.25" customHeight="1">
      <c r="A280" s="3" t="s">
        <v>10</v>
      </c>
      <c r="B280" s="3" t="s">
        <v>11</v>
      </c>
      <c r="C280" s="3" t="s">
        <v>12</v>
      </c>
      <c r="D280" s="3" t="s">
        <v>13</v>
      </c>
      <c r="E280" s="3" t="s">
        <v>29</v>
      </c>
      <c r="F280" s="3">
        <v>220.0</v>
      </c>
      <c r="G280" s="4" t="s">
        <v>16</v>
      </c>
      <c r="H280" s="3">
        <v>128.53782772537147</v>
      </c>
      <c r="I280" s="3"/>
      <c r="J280" s="5"/>
    </row>
    <row r="281" ht="14.25" customHeight="1">
      <c r="A281" s="3" t="s">
        <v>10</v>
      </c>
      <c r="B281" s="3" t="s">
        <v>11</v>
      </c>
      <c r="C281" s="3" t="s">
        <v>12</v>
      </c>
      <c r="D281" s="3" t="s">
        <v>13</v>
      </c>
      <c r="E281" s="3" t="s">
        <v>29</v>
      </c>
      <c r="F281" s="3">
        <v>220.0</v>
      </c>
      <c r="G281" s="4" t="s">
        <v>17</v>
      </c>
      <c r="H281" s="3">
        <v>126.28643734875641</v>
      </c>
      <c r="I281" s="3"/>
      <c r="J281" s="5"/>
    </row>
    <row r="282" ht="14.25" customHeight="1">
      <c r="A282" s="3" t="s">
        <v>10</v>
      </c>
      <c r="B282" s="3" t="s">
        <v>11</v>
      </c>
      <c r="C282" s="3" t="s">
        <v>12</v>
      </c>
      <c r="D282" s="3" t="s">
        <v>13</v>
      </c>
      <c r="E282" s="3" t="s">
        <v>29</v>
      </c>
      <c r="F282" s="3">
        <v>220.0</v>
      </c>
      <c r="G282" s="4" t="s">
        <v>18</v>
      </c>
      <c r="H282" s="3">
        <v>124.94776719540926</v>
      </c>
      <c r="I282" s="3"/>
      <c r="J282" s="5"/>
    </row>
    <row r="283" ht="14.25" customHeight="1">
      <c r="A283" s="3" t="s">
        <v>10</v>
      </c>
      <c r="B283" s="3" t="s">
        <v>11</v>
      </c>
      <c r="C283" s="3" t="s">
        <v>12</v>
      </c>
      <c r="D283" s="3" t="s">
        <v>13</v>
      </c>
      <c r="E283" s="3" t="s">
        <v>29</v>
      </c>
      <c r="F283" s="3">
        <v>220.0</v>
      </c>
      <c r="G283" s="4" t="s">
        <v>19</v>
      </c>
      <c r="H283" s="3">
        <v>123.67193143855877</v>
      </c>
      <c r="I283" s="3"/>
      <c r="J283" s="5"/>
    </row>
    <row r="284" ht="14.25" customHeight="1">
      <c r="A284" s="3" t="s">
        <v>10</v>
      </c>
      <c r="B284" s="3" t="s">
        <v>11</v>
      </c>
      <c r="C284" s="3" t="s">
        <v>12</v>
      </c>
      <c r="D284" s="3" t="s">
        <v>13</v>
      </c>
      <c r="E284" s="3" t="s">
        <v>29</v>
      </c>
      <c r="F284" s="3">
        <v>220.0</v>
      </c>
      <c r="G284" s="4" t="s">
        <v>20</v>
      </c>
      <c r="H284" s="3">
        <v>129.21542211711903</v>
      </c>
      <c r="I284" s="3"/>
      <c r="J284" s="5"/>
    </row>
    <row r="285" ht="14.25" customHeight="1">
      <c r="A285" s="3" t="s">
        <v>10</v>
      </c>
      <c r="B285" s="3" t="s">
        <v>11</v>
      </c>
      <c r="C285" s="3" t="s">
        <v>12</v>
      </c>
      <c r="D285" s="3" t="s">
        <v>13</v>
      </c>
      <c r="E285" s="3" t="s">
        <v>29</v>
      </c>
      <c r="F285" s="3">
        <v>220.0</v>
      </c>
      <c r="G285" s="4" t="s">
        <v>21</v>
      </c>
      <c r="H285" s="3">
        <v>128.9379952518035</v>
      </c>
      <c r="I285" s="3"/>
      <c r="J285" s="5"/>
    </row>
    <row r="286" ht="14.25" customHeight="1">
      <c r="A286" s="3" t="s">
        <v>10</v>
      </c>
      <c r="B286" s="3" t="s">
        <v>11</v>
      </c>
      <c r="C286" s="3" t="s">
        <v>12</v>
      </c>
      <c r="D286" s="3" t="s">
        <v>13</v>
      </c>
      <c r="E286" s="3" t="s">
        <v>29</v>
      </c>
      <c r="F286" s="3">
        <v>220.0</v>
      </c>
      <c r="G286" s="4" t="s">
        <v>22</v>
      </c>
      <c r="H286" s="3">
        <v>112.82282676791897</v>
      </c>
      <c r="I286" s="3"/>
      <c r="J286" s="5"/>
    </row>
    <row r="287" ht="14.25" customHeight="1">
      <c r="A287" s="3" t="s">
        <v>23</v>
      </c>
      <c r="B287" s="3" t="s">
        <v>11</v>
      </c>
      <c r="C287" s="3" t="s">
        <v>12</v>
      </c>
      <c r="D287" s="3" t="s">
        <v>13</v>
      </c>
      <c r="E287" s="3" t="s">
        <v>29</v>
      </c>
      <c r="F287" s="3">
        <v>220.0</v>
      </c>
      <c r="G287" s="4" t="s">
        <v>15</v>
      </c>
      <c r="H287" s="3">
        <v>599.0732328028604</v>
      </c>
      <c r="I287" s="3"/>
      <c r="J287" s="5"/>
    </row>
    <row r="288" ht="14.25" customHeight="1">
      <c r="A288" s="3" t="s">
        <v>23</v>
      </c>
      <c r="B288" s="3" t="s">
        <v>11</v>
      </c>
      <c r="C288" s="3" t="s">
        <v>12</v>
      </c>
      <c r="D288" s="3" t="s">
        <v>13</v>
      </c>
      <c r="E288" s="3" t="s">
        <v>29</v>
      </c>
      <c r="F288" s="3">
        <v>220.0</v>
      </c>
      <c r="G288" s="4" t="s">
        <v>16</v>
      </c>
      <c r="H288" s="3">
        <v>616.4937262741987</v>
      </c>
      <c r="I288" s="3"/>
      <c r="J288" s="5"/>
    </row>
    <row r="289" ht="14.25" customHeight="1">
      <c r="A289" s="3" t="s">
        <v>23</v>
      </c>
      <c r="B289" s="3" t="s">
        <v>11</v>
      </c>
      <c r="C289" s="3" t="s">
        <v>12</v>
      </c>
      <c r="D289" s="3" t="s">
        <v>13</v>
      </c>
      <c r="E289" s="3" t="s">
        <v>29</v>
      </c>
      <c r="F289" s="3">
        <v>220.0</v>
      </c>
      <c r="G289" s="4" t="s">
        <v>17</v>
      </c>
      <c r="H289" s="3">
        <v>588.7585779798983</v>
      </c>
      <c r="I289" s="3"/>
      <c r="J289" s="5"/>
    </row>
    <row r="290" ht="14.25" customHeight="1">
      <c r="A290" s="3" t="s">
        <v>23</v>
      </c>
      <c r="B290" s="3" t="s">
        <v>11</v>
      </c>
      <c r="C290" s="3" t="s">
        <v>12</v>
      </c>
      <c r="D290" s="3" t="s">
        <v>13</v>
      </c>
      <c r="E290" s="3" t="s">
        <v>29</v>
      </c>
      <c r="F290" s="3">
        <v>220.0</v>
      </c>
      <c r="G290" s="4" t="s">
        <v>18</v>
      </c>
      <c r="H290" s="3">
        <v>617.1030414487707</v>
      </c>
      <c r="I290" s="3"/>
      <c r="J290" s="5"/>
    </row>
    <row r="291" ht="14.25" customHeight="1">
      <c r="A291" s="3" t="s">
        <v>23</v>
      </c>
      <c r="B291" s="3" t="s">
        <v>11</v>
      </c>
      <c r="C291" s="3" t="s">
        <v>12</v>
      </c>
      <c r="D291" s="3" t="s">
        <v>13</v>
      </c>
      <c r="E291" s="3" t="s">
        <v>29</v>
      </c>
      <c r="F291" s="3">
        <v>220.0</v>
      </c>
      <c r="G291" s="4" t="s">
        <v>19</v>
      </c>
      <c r="H291" s="3">
        <v>625.6180613578148</v>
      </c>
      <c r="I291" s="3"/>
      <c r="J291" s="5"/>
    </row>
    <row r="292" ht="14.25" customHeight="1">
      <c r="A292" s="3" t="s">
        <v>23</v>
      </c>
      <c r="B292" s="3" t="s">
        <v>11</v>
      </c>
      <c r="C292" s="3" t="s">
        <v>12</v>
      </c>
      <c r="D292" s="3" t="s">
        <v>13</v>
      </c>
      <c r="E292" s="3" t="s">
        <v>29</v>
      </c>
      <c r="F292" s="3">
        <v>220.0</v>
      </c>
      <c r="G292" s="4" t="s">
        <v>20</v>
      </c>
      <c r="H292" s="3">
        <v>667.8294321156118</v>
      </c>
      <c r="I292" s="3"/>
      <c r="J292" s="5"/>
    </row>
    <row r="293" ht="14.25" customHeight="1">
      <c r="A293" s="3" t="s">
        <v>23</v>
      </c>
      <c r="B293" s="3" t="s">
        <v>11</v>
      </c>
      <c r="C293" s="3" t="s">
        <v>12</v>
      </c>
      <c r="D293" s="3" t="s">
        <v>13</v>
      </c>
      <c r="E293" s="3" t="s">
        <v>29</v>
      </c>
      <c r="F293" s="3">
        <v>220.0</v>
      </c>
      <c r="G293" s="4" t="s">
        <v>21</v>
      </c>
      <c r="H293" s="3">
        <v>645.7082030734163</v>
      </c>
      <c r="I293" s="3"/>
      <c r="J293" s="5"/>
    </row>
    <row r="294" ht="14.25" customHeight="1">
      <c r="A294" s="3" t="s">
        <v>23</v>
      </c>
      <c r="B294" s="3" t="s">
        <v>11</v>
      </c>
      <c r="C294" s="3" t="s">
        <v>12</v>
      </c>
      <c r="D294" s="3" t="s">
        <v>13</v>
      </c>
      <c r="E294" s="3" t="s">
        <v>29</v>
      </c>
      <c r="F294" s="3">
        <v>220.0</v>
      </c>
      <c r="G294" s="4" t="s">
        <v>22</v>
      </c>
      <c r="H294" s="3">
        <v>611.0555284362739</v>
      </c>
      <c r="I294" s="3"/>
      <c r="J294" s="5"/>
    </row>
    <row r="295" ht="14.25" customHeight="1">
      <c r="A295" s="3" t="s">
        <v>24</v>
      </c>
      <c r="B295" s="3" t="s">
        <v>11</v>
      </c>
      <c r="C295" s="3" t="s">
        <v>12</v>
      </c>
      <c r="D295" s="3" t="s">
        <v>13</v>
      </c>
      <c r="E295" s="3" t="s">
        <v>29</v>
      </c>
      <c r="F295" s="3">
        <v>220.0</v>
      </c>
      <c r="G295" s="4" t="s">
        <v>17</v>
      </c>
      <c r="H295" s="3">
        <v>3.1004080628896378</v>
      </c>
      <c r="I295" s="3"/>
      <c r="J295" s="5"/>
    </row>
    <row r="296" ht="14.25" customHeight="1">
      <c r="A296" s="3" t="s">
        <v>24</v>
      </c>
      <c r="B296" s="3" t="s">
        <v>11</v>
      </c>
      <c r="C296" s="3" t="s">
        <v>12</v>
      </c>
      <c r="D296" s="3" t="s">
        <v>13</v>
      </c>
      <c r="E296" s="3" t="s">
        <v>29</v>
      </c>
      <c r="F296" s="3">
        <v>220.0</v>
      </c>
      <c r="G296" s="4" t="s">
        <v>18</v>
      </c>
      <c r="H296" s="3">
        <v>14.196260476879603</v>
      </c>
      <c r="I296" s="3"/>
      <c r="J296" s="5"/>
    </row>
    <row r="297" ht="14.25" customHeight="1">
      <c r="A297" s="3" t="s">
        <v>24</v>
      </c>
      <c r="B297" s="3" t="s">
        <v>11</v>
      </c>
      <c r="C297" s="3" t="s">
        <v>12</v>
      </c>
      <c r="D297" s="3" t="s">
        <v>13</v>
      </c>
      <c r="E297" s="3" t="s">
        <v>29</v>
      </c>
      <c r="F297" s="3">
        <v>220.0</v>
      </c>
      <c r="G297" s="4" t="s">
        <v>19</v>
      </c>
      <c r="H297" s="3">
        <v>16.465848460161574</v>
      </c>
      <c r="I297" s="3"/>
      <c r="J297" s="5"/>
    </row>
    <row r="298" ht="14.25" customHeight="1">
      <c r="A298" s="3" t="s">
        <v>24</v>
      </c>
      <c r="B298" s="3" t="s">
        <v>11</v>
      </c>
      <c r="C298" s="3" t="s">
        <v>12</v>
      </c>
      <c r="D298" s="3" t="s">
        <v>13</v>
      </c>
      <c r="E298" s="3" t="s">
        <v>29</v>
      </c>
      <c r="F298" s="3">
        <v>220.0</v>
      </c>
      <c r="G298" s="4" t="s">
        <v>20</v>
      </c>
      <c r="H298" s="3">
        <v>21.65687577902471</v>
      </c>
      <c r="I298" s="3"/>
      <c r="J298" s="5"/>
    </row>
    <row r="299" ht="14.25" customHeight="1">
      <c r="A299" s="3" t="s">
        <v>24</v>
      </c>
      <c r="B299" s="3" t="s">
        <v>11</v>
      </c>
      <c r="C299" s="3" t="s">
        <v>12</v>
      </c>
      <c r="D299" s="3" t="s">
        <v>13</v>
      </c>
      <c r="E299" s="3" t="s">
        <v>29</v>
      </c>
      <c r="F299" s="3">
        <v>220.0</v>
      </c>
      <c r="G299" s="4" t="s">
        <v>21</v>
      </c>
      <c r="H299" s="3">
        <v>19.226437105608838</v>
      </c>
      <c r="I299" s="3"/>
      <c r="J299" s="5"/>
    </row>
    <row r="300" ht="14.25" customHeight="1">
      <c r="A300" s="3" t="s">
        <v>24</v>
      </c>
      <c r="B300" s="3" t="s">
        <v>11</v>
      </c>
      <c r="C300" s="3" t="s">
        <v>12</v>
      </c>
      <c r="D300" s="3" t="s">
        <v>13</v>
      </c>
      <c r="E300" s="3" t="s">
        <v>29</v>
      </c>
      <c r="F300" s="3">
        <v>220.0</v>
      </c>
      <c r="G300" s="4" t="s">
        <v>22</v>
      </c>
      <c r="H300" s="3">
        <v>13.337201164219804</v>
      </c>
      <c r="I300" s="3"/>
      <c r="J300" s="5"/>
    </row>
    <row r="301" ht="14.25" customHeight="1">
      <c r="A301" s="3" t="s">
        <v>25</v>
      </c>
      <c r="B301" s="3" t="s">
        <v>11</v>
      </c>
      <c r="C301" s="3" t="s">
        <v>12</v>
      </c>
      <c r="D301" s="3" t="s">
        <v>13</v>
      </c>
      <c r="E301" s="3" t="s">
        <v>29</v>
      </c>
      <c r="F301" s="3">
        <v>220.0</v>
      </c>
      <c r="G301" s="4" t="s">
        <v>15</v>
      </c>
      <c r="H301" s="3">
        <v>88.31075829073174</v>
      </c>
      <c r="I301" s="3"/>
      <c r="J301" s="5"/>
    </row>
    <row r="302" ht="14.25" customHeight="1">
      <c r="A302" s="3" t="s">
        <v>25</v>
      </c>
      <c r="B302" s="3" t="s">
        <v>11</v>
      </c>
      <c r="C302" s="3" t="s">
        <v>12</v>
      </c>
      <c r="D302" s="3" t="s">
        <v>13</v>
      </c>
      <c r="E302" s="3" t="s">
        <v>29</v>
      </c>
      <c r="F302" s="3">
        <v>220.0</v>
      </c>
      <c r="G302" s="4" t="s">
        <v>16</v>
      </c>
      <c r="H302" s="3">
        <v>82.4567941938412</v>
      </c>
      <c r="I302" s="3"/>
      <c r="J302" s="5"/>
    </row>
    <row r="303" ht="14.25" customHeight="1">
      <c r="A303" s="3" t="s">
        <v>25</v>
      </c>
      <c r="B303" s="3" t="s">
        <v>11</v>
      </c>
      <c r="C303" s="3" t="s">
        <v>12</v>
      </c>
      <c r="D303" s="3" t="s">
        <v>13</v>
      </c>
      <c r="E303" s="3" t="s">
        <v>29</v>
      </c>
      <c r="F303" s="3">
        <v>220.0</v>
      </c>
      <c r="G303" s="4" t="s">
        <v>17</v>
      </c>
      <c r="H303" s="3">
        <v>83.07944317708193</v>
      </c>
      <c r="I303" s="3"/>
      <c r="J303" s="5"/>
    </row>
    <row r="304" ht="14.25" customHeight="1">
      <c r="A304" s="3" t="s">
        <v>25</v>
      </c>
      <c r="B304" s="3" t="s">
        <v>11</v>
      </c>
      <c r="C304" s="3" t="s">
        <v>12</v>
      </c>
      <c r="D304" s="3" t="s">
        <v>13</v>
      </c>
      <c r="E304" s="3" t="s">
        <v>29</v>
      </c>
      <c r="F304" s="3">
        <v>220.0</v>
      </c>
      <c r="G304" s="4" t="s">
        <v>18</v>
      </c>
      <c r="H304" s="3">
        <v>90.57389623613444</v>
      </c>
      <c r="I304" s="3"/>
      <c r="J304" s="5"/>
    </row>
    <row r="305" ht="14.25" customHeight="1">
      <c r="A305" s="3" t="s">
        <v>25</v>
      </c>
      <c r="B305" s="3" t="s">
        <v>11</v>
      </c>
      <c r="C305" s="3" t="s">
        <v>12</v>
      </c>
      <c r="D305" s="3" t="s">
        <v>13</v>
      </c>
      <c r="E305" s="3" t="s">
        <v>29</v>
      </c>
      <c r="F305" s="3">
        <v>220.0</v>
      </c>
      <c r="G305" s="4" t="s">
        <v>19</v>
      </c>
      <c r="H305" s="3">
        <v>96.21099045425508</v>
      </c>
      <c r="I305" s="3"/>
      <c r="J305" s="5"/>
    </row>
    <row r="306" ht="14.25" customHeight="1">
      <c r="A306" s="3" t="s">
        <v>25</v>
      </c>
      <c r="B306" s="3" t="s">
        <v>11</v>
      </c>
      <c r="C306" s="3" t="s">
        <v>12</v>
      </c>
      <c r="D306" s="3" t="s">
        <v>13</v>
      </c>
      <c r="E306" s="3" t="s">
        <v>29</v>
      </c>
      <c r="F306" s="3">
        <v>220.0</v>
      </c>
      <c r="G306" s="4" t="s">
        <v>20</v>
      </c>
      <c r="H306" s="3">
        <v>100.86082630494751</v>
      </c>
      <c r="I306" s="3"/>
      <c r="J306" s="5"/>
    </row>
    <row r="307" ht="14.25" customHeight="1">
      <c r="A307" s="3" t="s">
        <v>25</v>
      </c>
      <c r="B307" s="3" t="s">
        <v>11</v>
      </c>
      <c r="C307" s="3" t="s">
        <v>12</v>
      </c>
      <c r="D307" s="3" t="s">
        <v>13</v>
      </c>
      <c r="E307" s="3" t="s">
        <v>29</v>
      </c>
      <c r="F307" s="3">
        <v>220.0</v>
      </c>
      <c r="G307" s="4" t="s">
        <v>21</v>
      </c>
      <c r="H307" s="3">
        <v>98.79099481400478</v>
      </c>
      <c r="I307" s="3"/>
      <c r="J307" s="5"/>
    </row>
    <row r="308" ht="14.25" customHeight="1">
      <c r="A308" s="3" t="s">
        <v>25</v>
      </c>
      <c r="B308" s="3" t="s">
        <v>11</v>
      </c>
      <c r="C308" s="3" t="s">
        <v>12</v>
      </c>
      <c r="D308" s="3" t="s">
        <v>13</v>
      </c>
      <c r="E308" s="3" t="s">
        <v>29</v>
      </c>
      <c r="F308" s="3">
        <v>220.0</v>
      </c>
      <c r="G308" s="4" t="s">
        <v>22</v>
      </c>
      <c r="H308" s="3">
        <v>87.3443164240044</v>
      </c>
      <c r="I308" s="3"/>
      <c r="J308" s="5"/>
    </row>
    <row r="309" ht="14.25" customHeight="1">
      <c r="A309" s="3" t="s">
        <v>26</v>
      </c>
      <c r="B309" s="3" t="s">
        <v>11</v>
      </c>
      <c r="C309" s="3" t="s">
        <v>12</v>
      </c>
      <c r="D309" s="3" t="s">
        <v>13</v>
      </c>
      <c r="E309" s="3" t="s">
        <v>29</v>
      </c>
      <c r="F309" s="3">
        <v>220.0</v>
      </c>
      <c r="G309" s="4" t="s">
        <v>15</v>
      </c>
      <c r="H309" s="3">
        <v>495.0377854630209</v>
      </c>
      <c r="I309" s="3"/>
      <c r="J309" s="5"/>
    </row>
    <row r="310" ht="14.25" customHeight="1">
      <c r="A310" s="3" t="s">
        <v>26</v>
      </c>
      <c r="B310" s="3" t="s">
        <v>11</v>
      </c>
      <c r="C310" s="3" t="s">
        <v>12</v>
      </c>
      <c r="D310" s="3" t="s">
        <v>13</v>
      </c>
      <c r="E310" s="3" t="s">
        <v>29</v>
      </c>
      <c r="F310" s="3">
        <v>220.0</v>
      </c>
      <c r="G310" s="4" t="s">
        <v>16</v>
      </c>
      <c r="H310" s="3">
        <v>512.3245341613436</v>
      </c>
      <c r="I310" s="3"/>
      <c r="J310" s="5"/>
    </row>
    <row r="311" ht="14.25" customHeight="1">
      <c r="A311" s="3" t="s">
        <v>26</v>
      </c>
      <c r="B311" s="3" t="s">
        <v>11</v>
      </c>
      <c r="C311" s="3" t="s">
        <v>12</v>
      </c>
      <c r="D311" s="3" t="s">
        <v>13</v>
      </c>
      <c r="E311" s="3" t="s">
        <v>29</v>
      </c>
      <c r="F311" s="3">
        <v>220.0</v>
      </c>
      <c r="G311" s="4" t="s">
        <v>17</v>
      </c>
      <c r="H311" s="3">
        <v>484.78013721837357</v>
      </c>
      <c r="I311" s="3"/>
      <c r="J311" s="5"/>
    </row>
    <row r="312" ht="14.25" customHeight="1">
      <c r="A312" s="3" t="s">
        <v>26</v>
      </c>
      <c r="B312" s="3" t="s">
        <v>11</v>
      </c>
      <c r="C312" s="3" t="s">
        <v>12</v>
      </c>
      <c r="D312" s="3" t="s">
        <v>13</v>
      </c>
      <c r="E312" s="3" t="s">
        <v>29</v>
      </c>
      <c r="F312" s="3">
        <v>220.0</v>
      </c>
      <c r="G312" s="4" t="s">
        <v>18</v>
      </c>
      <c r="H312" s="3">
        <v>507.3537420711037</v>
      </c>
      <c r="I312" s="3"/>
      <c r="J312" s="5"/>
    </row>
    <row r="313" ht="14.25" customHeight="1">
      <c r="A313" s="3" t="s">
        <v>26</v>
      </c>
      <c r="B313" s="3" t="s">
        <v>11</v>
      </c>
      <c r="C313" s="3" t="s">
        <v>12</v>
      </c>
      <c r="D313" s="3" t="s">
        <v>13</v>
      </c>
      <c r="E313" s="3" t="s">
        <v>29</v>
      </c>
      <c r="F313" s="3">
        <v>220.0</v>
      </c>
      <c r="G313" s="4" t="s">
        <v>19</v>
      </c>
      <c r="H313" s="3">
        <v>508.6054469689358</v>
      </c>
      <c r="I313" s="3"/>
      <c r="J313" s="5"/>
    </row>
    <row r="314" ht="14.25" customHeight="1">
      <c r="A314" s="3" t="s">
        <v>26</v>
      </c>
      <c r="B314" s="3" t="s">
        <v>11</v>
      </c>
      <c r="C314" s="3" t="s">
        <v>12</v>
      </c>
      <c r="D314" s="3" t="s">
        <v>13</v>
      </c>
      <c r="E314" s="3" t="s">
        <v>29</v>
      </c>
      <c r="F314" s="3">
        <v>220.0</v>
      </c>
      <c r="G314" s="4" t="s">
        <v>20</v>
      </c>
      <c r="H314" s="3">
        <v>541.4599759569314</v>
      </c>
      <c r="I314" s="3"/>
      <c r="J314" s="5"/>
    </row>
    <row r="315" ht="14.25" customHeight="1">
      <c r="A315" s="3" t="s">
        <v>26</v>
      </c>
      <c r="B315" s="3" t="s">
        <v>11</v>
      </c>
      <c r="C315" s="3" t="s">
        <v>12</v>
      </c>
      <c r="D315" s="3" t="s">
        <v>13</v>
      </c>
      <c r="E315" s="3" t="s">
        <v>29</v>
      </c>
      <c r="F315" s="3">
        <v>220.0</v>
      </c>
      <c r="G315" s="4" t="s">
        <v>21</v>
      </c>
      <c r="H315" s="3">
        <v>524.8437877342952</v>
      </c>
      <c r="I315" s="3"/>
      <c r="J315" s="5"/>
    </row>
    <row r="316" ht="14.25" customHeight="1">
      <c r="A316" s="3" t="s">
        <v>26</v>
      </c>
      <c r="B316" s="3" t="s">
        <v>11</v>
      </c>
      <c r="C316" s="3" t="s">
        <v>12</v>
      </c>
      <c r="D316" s="3" t="s">
        <v>13</v>
      </c>
      <c r="E316" s="3" t="s">
        <v>29</v>
      </c>
      <c r="F316" s="3">
        <v>220.0</v>
      </c>
      <c r="G316" s="4" t="s">
        <v>22</v>
      </c>
      <c r="H316" s="3">
        <v>506.6176422704451</v>
      </c>
      <c r="I316" s="3"/>
      <c r="J316" s="5"/>
    </row>
    <row r="317" ht="14.25" customHeight="1">
      <c r="A317" s="3" t="s">
        <v>10</v>
      </c>
      <c r="B317" s="3" t="s">
        <v>11</v>
      </c>
      <c r="C317" s="3" t="s">
        <v>27</v>
      </c>
      <c r="D317" s="3" t="s">
        <v>30</v>
      </c>
      <c r="E317" s="3" t="s">
        <v>14</v>
      </c>
      <c r="F317" s="3">
        <v>1000.0</v>
      </c>
      <c r="G317" s="4" t="s">
        <v>15</v>
      </c>
      <c r="H317" s="3">
        <v>50.023112513126875</v>
      </c>
      <c r="I317" s="3"/>
      <c r="J317" s="5"/>
    </row>
    <row r="318" ht="14.25" customHeight="1">
      <c r="A318" s="3" t="s">
        <v>10</v>
      </c>
      <c r="B318" s="3" t="s">
        <v>11</v>
      </c>
      <c r="C318" s="3" t="s">
        <v>27</v>
      </c>
      <c r="D318" s="3" t="s">
        <v>30</v>
      </c>
      <c r="E318" s="3" t="s">
        <v>14</v>
      </c>
      <c r="F318" s="3">
        <v>1000.0</v>
      </c>
      <c r="G318" s="4" t="s">
        <v>16</v>
      </c>
      <c r="H318" s="3">
        <v>49.787248772136095</v>
      </c>
      <c r="I318" s="3"/>
      <c r="J318" s="5"/>
    </row>
    <row r="319" ht="14.25" customHeight="1">
      <c r="A319" s="3" t="s">
        <v>10</v>
      </c>
      <c r="B319" s="3" t="s">
        <v>11</v>
      </c>
      <c r="C319" s="3" t="s">
        <v>27</v>
      </c>
      <c r="D319" s="3" t="s">
        <v>30</v>
      </c>
      <c r="E319" s="3" t="s">
        <v>14</v>
      </c>
      <c r="F319" s="3">
        <v>1000.0</v>
      </c>
      <c r="G319" s="4" t="s">
        <v>17</v>
      </c>
      <c r="H319" s="3">
        <v>47.84863282902724</v>
      </c>
      <c r="I319" s="3"/>
      <c r="J319" s="5"/>
    </row>
    <row r="320" ht="14.25" customHeight="1">
      <c r="A320" s="3" t="s">
        <v>10</v>
      </c>
      <c r="B320" s="3" t="s">
        <v>11</v>
      </c>
      <c r="C320" s="3" t="s">
        <v>27</v>
      </c>
      <c r="D320" s="3" t="s">
        <v>30</v>
      </c>
      <c r="E320" s="3" t="s">
        <v>14</v>
      </c>
      <c r="F320" s="3">
        <v>1000.0</v>
      </c>
      <c r="G320" s="4" t="s">
        <v>18</v>
      </c>
      <c r="H320" s="3">
        <v>42.65224017457237</v>
      </c>
      <c r="I320" s="3"/>
      <c r="J320" s="5"/>
    </row>
    <row r="321" ht="14.25" customHeight="1">
      <c r="A321" s="3" t="s">
        <v>10</v>
      </c>
      <c r="B321" s="3" t="s">
        <v>11</v>
      </c>
      <c r="C321" s="3" t="s">
        <v>27</v>
      </c>
      <c r="D321" s="3" t="s">
        <v>30</v>
      </c>
      <c r="E321" s="3" t="s">
        <v>14</v>
      </c>
      <c r="F321" s="3">
        <v>1000.0</v>
      </c>
      <c r="G321" s="4" t="s">
        <v>19</v>
      </c>
      <c r="H321" s="3">
        <v>46.84093151581959</v>
      </c>
      <c r="I321" s="3"/>
      <c r="J321" s="5"/>
    </row>
    <row r="322" ht="14.25" customHeight="1">
      <c r="A322" s="3" t="s">
        <v>10</v>
      </c>
      <c r="B322" s="3" t="s">
        <v>11</v>
      </c>
      <c r="C322" s="3" t="s">
        <v>27</v>
      </c>
      <c r="D322" s="3" t="s">
        <v>30</v>
      </c>
      <c r="E322" s="3" t="s">
        <v>14</v>
      </c>
      <c r="F322" s="3">
        <v>1000.0</v>
      </c>
      <c r="G322" s="4" t="s">
        <v>20</v>
      </c>
      <c r="H322" s="3">
        <v>48.962679474138696</v>
      </c>
      <c r="I322" s="3"/>
      <c r="J322" s="5"/>
    </row>
    <row r="323" ht="14.25" customHeight="1">
      <c r="A323" s="3" t="s">
        <v>10</v>
      </c>
      <c r="B323" s="3" t="s">
        <v>11</v>
      </c>
      <c r="C323" s="3" t="s">
        <v>27</v>
      </c>
      <c r="D323" s="3" t="s">
        <v>30</v>
      </c>
      <c r="E323" s="3" t="s">
        <v>14</v>
      </c>
      <c r="F323" s="3">
        <v>1000.0</v>
      </c>
      <c r="G323" s="4" t="s">
        <v>21</v>
      </c>
      <c r="H323" s="3">
        <v>46.31501608705018</v>
      </c>
      <c r="I323" s="3"/>
      <c r="J323" s="5"/>
    </row>
    <row r="324" ht="14.25" customHeight="1">
      <c r="A324" s="3" t="s">
        <v>10</v>
      </c>
      <c r="B324" s="3" t="s">
        <v>11</v>
      </c>
      <c r="C324" s="3" t="s">
        <v>27</v>
      </c>
      <c r="D324" s="3" t="s">
        <v>30</v>
      </c>
      <c r="E324" s="3" t="s">
        <v>14</v>
      </c>
      <c r="F324" s="3">
        <v>1000.0</v>
      </c>
      <c r="G324" s="4" t="s">
        <v>22</v>
      </c>
      <c r="H324" s="3">
        <v>39.12742479188234</v>
      </c>
      <c r="I324" s="3"/>
      <c r="J324" s="5"/>
    </row>
    <row r="325" ht="14.25" customHeight="1">
      <c r="A325" s="3" t="s">
        <v>23</v>
      </c>
      <c r="B325" s="3" t="s">
        <v>11</v>
      </c>
      <c r="C325" s="3" t="s">
        <v>27</v>
      </c>
      <c r="D325" s="3" t="s">
        <v>30</v>
      </c>
      <c r="E325" s="3" t="s">
        <v>14</v>
      </c>
      <c r="F325" s="3">
        <v>1000.0</v>
      </c>
      <c r="G325" s="4" t="s">
        <v>15</v>
      </c>
      <c r="H325" s="3">
        <v>25.402745457855662</v>
      </c>
      <c r="I325" s="3"/>
      <c r="J325" s="5"/>
    </row>
    <row r="326" ht="14.25" customHeight="1">
      <c r="A326" s="3" t="s">
        <v>23</v>
      </c>
      <c r="B326" s="3" t="s">
        <v>11</v>
      </c>
      <c r="C326" s="3" t="s">
        <v>27</v>
      </c>
      <c r="D326" s="3" t="s">
        <v>30</v>
      </c>
      <c r="E326" s="3" t="s">
        <v>14</v>
      </c>
      <c r="F326" s="3">
        <v>1000.0</v>
      </c>
      <c r="G326" s="4" t="s">
        <v>16</v>
      </c>
      <c r="H326" s="3">
        <v>31.045038219710506</v>
      </c>
      <c r="I326" s="3"/>
      <c r="J326" s="5"/>
    </row>
    <row r="327" ht="14.25" customHeight="1">
      <c r="A327" s="3" t="s">
        <v>23</v>
      </c>
      <c r="B327" s="3" t="s">
        <v>11</v>
      </c>
      <c r="C327" s="3" t="s">
        <v>27</v>
      </c>
      <c r="D327" s="3" t="s">
        <v>30</v>
      </c>
      <c r="E327" s="3" t="s">
        <v>14</v>
      </c>
      <c r="F327" s="3">
        <v>1000.0</v>
      </c>
      <c r="G327" s="4" t="s">
        <v>17</v>
      </c>
      <c r="H327" s="3">
        <v>29.81085472247733</v>
      </c>
      <c r="I327" s="3"/>
      <c r="J327" s="5"/>
    </row>
    <row r="328" ht="14.25" customHeight="1">
      <c r="A328" s="3" t="s">
        <v>23</v>
      </c>
      <c r="B328" s="3" t="s">
        <v>11</v>
      </c>
      <c r="C328" s="3" t="s">
        <v>27</v>
      </c>
      <c r="D328" s="3" t="s">
        <v>30</v>
      </c>
      <c r="E328" s="3" t="s">
        <v>14</v>
      </c>
      <c r="F328" s="3">
        <v>1000.0</v>
      </c>
      <c r="G328" s="4" t="s">
        <v>18</v>
      </c>
      <c r="H328" s="3">
        <v>27.227896299030665</v>
      </c>
      <c r="I328" s="3"/>
      <c r="J328" s="5"/>
    </row>
    <row r="329" ht="14.25" customHeight="1">
      <c r="A329" s="3" t="s">
        <v>23</v>
      </c>
      <c r="B329" s="3" t="s">
        <v>11</v>
      </c>
      <c r="C329" s="3" t="s">
        <v>27</v>
      </c>
      <c r="D329" s="3" t="s">
        <v>30</v>
      </c>
      <c r="E329" s="3" t="s">
        <v>14</v>
      </c>
      <c r="F329" s="3">
        <v>1000.0</v>
      </c>
      <c r="G329" s="4" t="s">
        <v>19</v>
      </c>
      <c r="H329" s="3">
        <v>26.966295067111403</v>
      </c>
      <c r="I329" s="3"/>
      <c r="J329" s="5"/>
    </row>
    <row r="330" ht="14.25" customHeight="1">
      <c r="A330" s="3" t="s">
        <v>23</v>
      </c>
      <c r="B330" s="3" t="s">
        <v>11</v>
      </c>
      <c r="C330" s="3" t="s">
        <v>27</v>
      </c>
      <c r="D330" s="3" t="s">
        <v>30</v>
      </c>
      <c r="E330" s="3" t="s">
        <v>14</v>
      </c>
      <c r="F330" s="3">
        <v>1000.0</v>
      </c>
      <c r="G330" s="4" t="s">
        <v>20</v>
      </c>
      <c r="H330" s="3">
        <v>30.032168184482973</v>
      </c>
      <c r="I330" s="3"/>
      <c r="J330" s="5"/>
    </row>
    <row r="331" ht="14.25" customHeight="1">
      <c r="A331" s="3" t="s">
        <v>23</v>
      </c>
      <c r="B331" s="3" t="s">
        <v>11</v>
      </c>
      <c r="C331" s="3" t="s">
        <v>27</v>
      </c>
      <c r="D331" s="3" t="s">
        <v>30</v>
      </c>
      <c r="E331" s="3" t="s">
        <v>14</v>
      </c>
      <c r="F331" s="3">
        <v>1000.0</v>
      </c>
      <c r="G331" s="4" t="s">
        <v>21</v>
      </c>
      <c r="H331" s="3">
        <v>26.9797883711578</v>
      </c>
      <c r="I331" s="3"/>
      <c r="J331" s="5"/>
    </row>
    <row r="332" ht="14.25" customHeight="1">
      <c r="A332" s="3" t="s">
        <v>23</v>
      </c>
      <c r="B332" s="3" t="s">
        <v>11</v>
      </c>
      <c r="C332" s="3" t="s">
        <v>27</v>
      </c>
      <c r="D332" s="3" t="s">
        <v>30</v>
      </c>
      <c r="E332" s="3" t="s">
        <v>14</v>
      </c>
      <c r="F332" s="3">
        <v>1000.0</v>
      </c>
      <c r="G332" s="4" t="s">
        <v>22</v>
      </c>
      <c r="H332" s="3">
        <v>22.727780024893946</v>
      </c>
      <c r="I332" s="3"/>
      <c r="J332" s="5"/>
    </row>
    <row r="333" ht="14.25" customHeight="1">
      <c r="A333" s="3" t="s">
        <v>24</v>
      </c>
      <c r="B333" s="3" t="s">
        <v>11</v>
      </c>
      <c r="C333" s="3" t="s">
        <v>27</v>
      </c>
      <c r="D333" s="3" t="s">
        <v>30</v>
      </c>
      <c r="E333" s="3" t="s">
        <v>14</v>
      </c>
      <c r="F333" s="3">
        <v>1000.0</v>
      </c>
      <c r="G333" s="4" t="s">
        <v>15</v>
      </c>
      <c r="H333" s="3">
        <v>9.647762357131256</v>
      </c>
      <c r="I333" s="3"/>
      <c r="J333" s="5"/>
    </row>
    <row r="334" ht="14.25" customHeight="1">
      <c r="A334" s="3" t="s">
        <v>24</v>
      </c>
      <c r="B334" s="3" t="s">
        <v>11</v>
      </c>
      <c r="C334" s="3" t="s">
        <v>27</v>
      </c>
      <c r="D334" s="3" t="s">
        <v>30</v>
      </c>
      <c r="E334" s="3" t="s">
        <v>14</v>
      </c>
      <c r="F334" s="3">
        <v>1000.0</v>
      </c>
      <c r="G334" s="4" t="s">
        <v>16</v>
      </c>
      <c r="H334" s="3">
        <v>14.27185745289756</v>
      </c>
      <c r="I334" s="3"/>
      <c r="J334" s="5"/>
    </row>
    <row r="335" ht="14.25" customHeight="1">
      <c r="A335" s="3" t="s">
        <v>24</v>
      </c>
      <c r="B335" s="3" t="s">
        <v>11</v>
      </c>
      <c r="C335" s="3" t="s">
        <v>27</v>
      </c>
      <c r="D335" s="3" t="s">
        <v>30</v>
      </c>
      <c r="E335" s="3" t="s">
        <v>14</v>
      </c>
      <c r="F335" s="3">
        <v>1000.0</v>
      </c>
      <c r="G335" s="4" t="s">
        <v>17</v>
      </c>
      <c r="H335" s="3">
        <v>13.362951538165317</v>
      </c>
      <c r="I335" s="3"/>
      <c r="J335" s="5"/>
    </row>
    <row r="336" ht="14.25" customHeight="1">
      <c r="A336" s="3" t="s">
        <v>24</v>
      </c>
      <c r="B336" s="3" t="s">
        <v>11</v>
      </c>
      <c r="C336" s="3" t="s">
        <v>27</v>
      </c>
      <c r="D336" s="3" t="s">
        <v>30</v>
      </c>
      <c r="E336" s="3" t="s">
        <v>14</v>
      </c>
      <c r="F336" s="3">
        <v>1000.0</v>
      </c>
      <c r="G336" s="4" t="s">
        <v>18</v>
      </c>
      <c r="H336" s="3">
        <v>10.069744009749328</v>
      </c>
      <c r="I336" s="3"/>
      <c r="J336" s="5"/>
    </row>
    <row r="337" ht="14.25" customHeight="1">
      <c r="A337" s="3" t="s">
        <v>24</v>
      </c>
      <c r="B337" s="3" t="s">
        <v>11</v>
      </c>
      <c r="C337" s="3" t="s">
        <v>27</v>
      </c>
      <c r="D337" s="3" t="s">
        <v>30</v>
      </c>
      <c r="E337" s="3" t="s">
        <v>14</v>
      </c>
      <c r="F337" s="3">
        <v>1000.0</v>
      </c>
      <c r="G337" s="4" t="s">
        <v>19</v>
      </c>
      <c r="H337" s="3">
        <v>10.630492072883207</v>
      </c>
      <c r="I337" s="3"/>
      <c r="J337" s="5"/>
    </row>
    <row r="338" ht="14.25" customHeight="1">
      <c r="A338" s="3" t="s">
        <v>24</v>
      </c>
      <c r="B338" s="3" t="s">
        <v>11</v>
      </c>
      <c r="C338" s="3" t="s">
        <v>27</v>
      </c>
      <c r="D338" s="3" t="s">
        <v>30</v>
      </c>
      <c r="E338" s="3" t="s">
        <v>14</v>
      </c>
      <c r="F338" s="3">
        <v>1000.0</v>
      </c>
      <c r="G338" s="4" t="s">
        <v>20</v>
      </c>
      <c r="H338" s="3">
        <v>12.203705431943275</v>
      </c>
      <c r="I338" s="3"/>
      <c r="J338" s="5"/>
    </row>
    <row r="339" ht="14.25" customHeight="1">
      <c r="A339" s="3" t="s">
        <v>24</v>
      </c>
      <c r="B339" s="3" t="s">
        <v>11</v>
      </c>
      <c r="C339" s="3" t="s">
        <v>27</v>
      </c>
      <c r="D339" s="3" t="s">
        <v>30</v>
      </c>
      <c r="E339" s="3" t="s">
        <v>14</v>
      </c>
      <c r="F339" s="3">
        <v>1000.0</v>
      </c>
      <c r="G339" s="4" t="s">
        <v>21</v>
      </c>
      <c r="H339" s="3">
        <v>10.420564085226054</v>
      </c>
      <c r="I339" s="3"/>
      <c r="J339" s="5"/>
    </row>
    <row r="340" ht="14.25" customHeight="1">
      <c r="A340" s="3" t="s">
        <v>24</v>
      </c>
      <c r="B340" s="3" t="s">
        <v>11</v>
      </c>
      <c r="C340" s="3" t="s">
        <v>27</v>
      </c>
      <c r="D340" s="3" t="s">
        <v>30</v>
      </c>
      <c r="E340" s="3" t="s">
        <v>14</v>
      </c>
      <c r="F340" s="3">
        <v>1000.0</v>
      </c>
      <c r="G340" s="4" t="s">
        <v>22</v>
      </c>
      <c r="H340" s="3">
        <v>7.420305254912237</v>
      </c>
      <c r="I340" s="3"/>
      <c r="J340" s="5"/>
    </row>
    <row r="341" ht="14.25" customHeight="1">
      <c r="A341" s="3" t="s">
        <v>25</v>
      </c>
      <c r="B341" s="3" t="s">
        <v>11</v>
      </c>
      <c r="C341" s="3" t="s">
        <v>27</v>
      </c>
      <c r="D341" s="3" t="s">
        <v>30</v>
      </c>
      <c r="E341" s="3" t="s">
        <v>14</v>
      </c>
      <c r="F341" s="3">
        <v>1000.0</v>
      </c>
      <c r="G341" s="4" t="s">
        <v>15</v>
      </c>
      <c r="H341" s="3">
        <v>1.9688827398224882</v>
      </c>
      <c r="I341" s="3"/>
      <c r="J341" s="5"/>
    </row>
    <row r="342" ht="14.25" customHeight="1">
      <c r="A342" s="3" t="s">
        <v>25</v>
      </c>
      <c r="B342" s="3" t="s">
        <v>11</v>
      </c>
      <c r="C342" s="3" t="s">
        <v>27</v>
      </c>
      <c r="D342" s="3" t="s">
        <v>30</v>
      </c>
      <c r="E342" s="3" t="s">
        <v>14</v>
      </c>
      <c r="F342" s="3">
        <v>1000.0</v>
      </c>
      <c r="G342" s="4" t="s">
        <v>16</v>
      </c>
      <c r="H342" s="3">
        <v>2.629975953769339</v>
      </c>
      <c r="I342" s="3"/>
      <c r="J342" s="5"/>
    </row>
    <row r="343" ht="14.25" customHeight="1">
      <c r="A343" s="3" t="s">
        <v>25</v>
      </c>
      <c r="B343" s="3" t="s">
        <v>11</v>
      </c>
      <c r="C343" s="3" t="s">
        <v>27</v>
      </c>
      <c r="D343" s="3" t="s">
        <v>30</v>
      </c>
      <c r="E343" s="3" t="s">
        <v>14</v>
      </c>
      <c r="F343" s="3">
        <v>1000.0</v>
      </c>
      <c r="G343" s="4" t="s">
        <v>17</v>
      </c>
      <c r="H343" s="3">
        <v>2.66538311411251</v>
      </c>
      <c r="I343" s="3"/>
      <c r="J343" s="5"/>
    </row>
    <row r="344" ht="14.25" customHeight="1">
      <c r="A344" s="3" t="s">
        <v>25</v>
      </c>
      <c r="B344" s="3" t="s">
        <v>11</v>
      </c>
      <c r="C344" s="3" t="s">
        <v>27</v>
      </c>
      <c r="D344" s="3" t="s">
        <v>30</v>
      </c>
      <c r="E344" s="3" t="s">
        <v>14</v>
      </c>
      <c r="F344" s="3">
        <v>1000.0</v>
      </c>
      <c r="G344" s="4" t="s">
        <v>18</v>
      </c>
      <c r="H344" s="3">
        <v>2.2463108967841054</v>
      </c>
      <c r="I344" s="3"/>
      <c r="J344" s="5"/>
    </row>
    <row r="345" ht="14.25" customHeight="1">
      <c r="A345" s="3" t="s">
        <v>25</v>
      </c>
      <c r="B345" s="3" t="s">
        <v>11</v>
      </c>
      <c r="C345" s="3" t="s">
        <v>27</v>
      </c>
      <c r="D345" s="3" t="s">
        <v>30</v>
      </c>
      <c r="E345" s="3" t="s">
        <v>14</v>
      </c>
      <c r="F345" s="3">
        <v>1000.0</v>
      </c>
      <c r="G345" s="4" t="s">
        <v>19</v>
      </c>
      <c r="H345" s="3">
        <v>1.9897480258521518</v>
      </c>
      <c r="I345" s="3"/>
      <c r="J345" s="5"/>
    </row>
    <row r="346" ht="14.25" customHeight="1">
      <c r="A346" s="3" t="s">
        <v>25</v>
      </c>
      <c r="B346" s="3" t="s">
        <v>11</v>
      </c>
      <c r="C346" s="3" t="s">
        <v>27</v>
      </c>
      <c r="D346" s="3" t="s">
        <v>30</v>
      </c>
      <c r="E346" s="3" t="s">
        <v>14</v>
      </c>
      <c r="F346" s="3">
        <v>1000.0</v>
      </c>
      <c r="G346" s="4" t="s">
        <v>20</v>
      </c>
      <c r="H346" s="3">
        <v>2.7023404466812058</v>
      </c>
      <c r="I346" s="3"/>
      <c r="J346" s="5"/>
    </row>
    <row r="347" ht="14.25" customHeight="1">
      <c r="A347" s="3" t="s">
        <v>25</v>
      </c>
      <c r="B347" s="3" t="s">
        <v>11</v>
      </c>
      <c r="C347" s="3" t="s">
        <v>27</v>
      </c>
      <c r="D347" s="3" t="s">
        <v>30</v>
      </c>
      <c r="E347" s="3" t="s">
        <v>14</v>
      </c>
      <c r="F347" s="3">
        <v>1000.0</v>
      </c>
      <c r="G347" s="4" t="s">
        <v>21</v>
      </c>
      <c r="H347" s="3">
        <v>3.3563221525368707</v>
      </c>
      <c r="I347" s="3"/>
      <c r="J347" s="5"/>
    </row>
    <row r="348" ht="14.25" customHeight="1">
      <c r="A348" s="3" t="s">
        <v>25</v>
      </c>
      <c r="B348" s="3" t="s">
        <v>11</v>
      </c>
      <c r="C348" s="3" t="s">
        <v>27</v>
      </c>
      <c r="D348" s="3" t="s">
        <v>30</v>
      </c>
      <c r="E348" s="3" t="s">
        <v>14</v>
      </c>
      <c r="F348" s="3">
        <v>1000.0</v>
      </c>
      <c r="G348" s="4" t="s">
        <v>22</v>
      </c>
      <c r="H348" s="3">
        <v>2.2377018337320154</v>
      </c>
      <c r="I348" s="3"/>
      <c r="J348" s="5"/>
    </row>
    <row r="349" ht="14.25" customHeight="1">
      <c r="A349" s="3" t="s">
        <v>26</v>
      </c>
      <c r="B349" s="3" t="s">
        <v>11</v>
      </c>
      <c r="C349" s="3" t="s">
        <v>27</v>
      </c>
      <c r="D349" s="3" t="s">
        <v>30</v>
      </c>
      <c r="E349" s="3" t="s">
        <v>14</v>
      </c>
      <c r="F349" s="3">
        <v>1000.0</v>
      </c>
      <c r="G349" s="4" t="s">
        <v>15</v>
      </c>
      <c r="H349" s="3">
        <v>14.994981309227116</v>
      </c>
      <c r="I349" s="3"/>
      <c r="J349" s="5"/>
    </row>
    <row r="350" ht="14.25" customHeight="1">
      <c r="A350" s="3" t="s">
        <v>26</v>
      </c>
      <c r="B350" s="3" t="s">
        <v>11</v>
      </c>
      <c r="C350" s="3" t="s">
        <v>27</v>
      </c>
      <c r="D350" s="3" t="s">
        <v>30</v>
      </c>
      <c r="E350" s="3" t="s">
        <v>14</v>
      </c>
      <c r="F350" s="3">
        <v>1000.0</v>
      </c>
      <c r="G350" s="4" t="s">
        <v>16</v>
      </c>
      <c r="H350" s="3">
        <v>16.03561410446652</v>
      </c>
      <c r="I350" s="3"/>
      <c r="J350" s="5"/>
    </row>
    <row r="351" ht="14.25" customHeight="1">
      <c r="A351" s="3" t="s">
        <v>26</v>
      </c>
      <c r="B351" s="3" t="s">
        <v>11</v>
      </c>
      <c r="C351" s="3" t="s">
        <v>27</v>
      </c>
      <c r="D351" s="3" t="s">
        <v>30</v>
      </c>
      <c r="E351" s="3" t="s">
        <v>14</v>
      </c>
      <c r="F351" s="3">
        <v>1000.0</v>
      </c>
      <c r="G351" s="4" t="s">
        <v>17</v>
      </c>
      <c r="H351" s="3">
        <v>15.209499555334556</v>
      </c>
      <c r="I351" s="3"/>
      <c r="J351" s="5"/>
    </row>
    <row r="352" ht="14.25" customHeight="1">
      <c r="A352" s="3" t="s">
        <v>26</v>
      </c>
      <c r="B352" s="3" t="s">
        <v>11</v>
      </c>
      <c r="C352" s="3" t="s">
        <v>27</v>
      </c>
      <c r="D352" s="3" t="s">
        <v>30</v>
      </c>
      <c r="E352" s="3" t="s">
        <v>14</v>
      </c>
      <c r="F352" s="3">
        <v>1000.0</v>
      </c>
      <c r="G352" s="4" t="s">
        <v>18</v>
      </c>
      <c r="H352" s="3">
        <v>15.376859305105343</v>
      </c>
      <c r="I352" s="3"/>
      <c r="J352" s="5"/>
    </row>
    <row r="353" ht="14.25" customHeight="1">
      <c r="A353" s="3" t="s">
        <v>26</v>
      </c>
      <c r="B353" s="3" t="s">
        <v>11</v>
      </c>
      <c r="C353" s="3" t="s">
        <v>27</v>
      </c>
      <c r="D353" s="3" t="s">
        <v>30</v>
      </c>
      <c r="E353" s="3" t="s">
        <v>14</v>
      </c>
      <c r="F353" s="3">
        <v>1000.0</v>
      </c>
      <c r="G353" s="4" t="s">
        <v>19</v>
      </c>
      <c r="H353" s="3">
        <v>14.844420596213578</v>
      </c>
      <c r="I353" s="3"/>
      <c r="J353" s="5"/>
    </row>
    <row r="354" ht="14.25" customHeight="1">
      <c r="A354" s="3" t="s">
        <v>26</v>
      </c>
      <c r="B354" s="3" t="s">
        <v>11</v>
      </c>
      <c r="C354" s="3" t="s">
        <v>27</v>
      </c>
      <c r="D354" s="3" t="s">
        <v>30</v>
      </c>
      <c r="E354" s="3" t="s">
        <v>14</v>
      </c>
      <c r="F354" s="3">
        <v>1000.0</v>
      </c>
      <c r="G354" s="4" t="s">
        <v>20</v>
      </c>
      <c r="H354" s="3">
        <v>15.539779383701802</v>
      </c>
      <c r="I354" s="3"/>
      <c r="J354" s="5"/>
    </row>
    <row r="355" ht="14.25" customHeight="1">
      <c r="A355" s="3" t="s">
        <v>26</v>
      </c>
      <c r="B355" s="3" t="s">
        <v>11</v>
      </c>
      <c r="C355" s="3" t="s">
        <v>27</v>
      </c>
      <c r="D355" s="3" t="s">
        <v>30</v>
      </c>
      <c r="E355" s="3" t="s">
        <v>14</v>
      </c>
      <c r="F355" s="3">
        <v>1000.0</v>
      </c>
      <c r="G355" s="4" t="s">
        <v>21</v>
      </c>
      <c r="H355" s="3">
        <v>13.408048753781342</v>
      </c>
      <c r="I355" s="3"/>
      <c r="J355" s="5"/>
    </row>
    <row r="356" ht="14.25" customHeight="1">
      <c r="A356" s="3" t="s">
        <v>26</v>
      </c>
      <c r="B356" s="3" t="s">
        <v>11</v>
      </c>
      <c r="C356" s="3" t="s">
        <v>27</v>
      </c>
      <c r="D356" s="3" t="s">
        <v>30</v>
      </c>
      <c r="E356" s="3" t="s">
        <v>14</v>
      </c>
      <c r="F356" s="3">
        <v>1000.0</v>
      </c>
      <c r="G356" s="4" t="s">
        <v>22</v>
      </c>
      <c r="H356" s="3">
        <v>13.2203926478716</v>
      </c>
      <c r="I356" s="3"/>
      <c r="J356" s="5"/>
    </row>
    <row r="357" ht="14.25" customHeight="1">
      <c r="A357" s="3" t="s">
        <v>10</v>
      </c>
      <c r="B357" s="3" t="s">
        <v>11</v>
      </c>
      <c r="C357" s="3" t="s">
        <v>27</v>
      </c>
      <c r="D357" s="3" t="s">
        <v>13</v>
      </c>
      <c r="E357" s="3" t="s">
        <v>14</v>
      </c>
      <c r="F357" s="3">
        <v>1000.0</v>
      </c>
      <c r="G357" s="4" t="s">
        <v>15</v>
      </c>
      <c r="H357" s="3">
        <v>40.30566945980442</v>
      </c>
      <c r="I357" s="3"/>
      <c r="J357" s="5"/>
    </row>
    <row r="358" ht="14.25" customHeight="1">
      <c r="A358" s="3" t="s">
        <v>10</v>
      </c>
      <c r="B358" s="3" t="s">
        <v>11</v>
      </c>
      <c r="C358" s="3" t="s">
        <v>27</v>
      </c>
      <c r="D358" s="3" t="s">
        <v>13</v>
      </c>
      <c r="E358" s="3" t="s">
        <v>14</v>
      </c>
      <c r="F358" s="3">
        <v>1000.0</v>
      </c>
      <c r="G358" s="4" t="s">
        <v>16</v>
      </c>
      <c r="H358" s="3">
        <v>48.043861580695875</v>
      </c>
      <c r="I358" s="3"/>
      <c r="J358" s="5"/>
    </row>
    <row r="359" ht="14.25" customHeight="1">
      <c r="A359" s="3" t="s">
        <v>10</v>
      </c>
      <c r="B359" s="3" t="s">
        <v>11</v>
      </c>
      <c r="C359" s="3" t="s">
        <v>27</v>
      </c>
      <c r="D359" s="3" t="s">
        <v>13</v>
      </c>
      <c r="E359" s="3" t="s">
        <v>14</v>
      </c>
      <c r="F359" s="3">
        <v>1000.0</v>
      </c>
      <c r="G359" s="4" t="s">
        <v>17</v>
      </c>
      <c r="H359" s="3">
        <v>45.54354492930847</v>
      </c>
      <c r="I359" s="3"/>
      <c r="J359" s="5"/>
    </row>
    <row r="360" ht="14.25" customHeight="1">
      <c r="A360" s="3" t="s">
        <v>10</v>
      </c>
      <c r="B360" s="3" t="s">
        <v>11</v>
      </c>
      <c r="C360" s="3" t="s">
        <v>27</v>
      </c>
      <c r="D360" s="3" t="s">
        <v>13</v>
      </c>
      <c r="E360" s="3" t="s">
        <v>14</v>
      </c>
      <c r="F360" s="3">
        <v>1000.0</v>
      </c>
      <c r="G360" s="4" t="s">
        <v>18</v>
      </c>
      <c r="H360" s="3">
        <v>32.018584785292546</v>
      </c>
      <c r="I360" s="3"/>
      <c r="J360" s="5"/>
    </row>
    <row r="361" ht="14.25" customHeight="1">
      <c r="A361" s="3" t="s">
        <v>10</v>
      </c>
      <c r="B361" s="3" t="s">
        <v>11</v>
      </c>
      <c r="C361" s="3" t="s">
        <v>27</v>
      </c>
      <c r="D361" s="3" t="s">
        <v>13</v>
      </c>
      <c r="E361" s="3" t="s">
        <v>14</v>
      </c>
      <c r="F361" s="3">
        <v>1000.0</v>
      </c>
      <c r="G361" s="4" t="s">
        <v>19</v>
      </c>
      <c r="H361" s="3">
        <v>30.281874196763916</v>
      </c>
      <c r="I361" s="3"/>
      <c r="J361" s="5"/>
    </row>
    <row r="362" ht="14.25" customHeight="1">
      <c r="A362" s="3" t="s">
        <v>10</v>
      </c>
      <c r="B362" s="3" t="s">
        <v>11</v>
      </c>
      <c r="C362" s="3" t="s">
        <v>27</v>
      </c>
      <c r="D362" s="3" t="s">
        <v>13</v>
      </c>
      <c r="E362" s="3" t="s">
        <v>14</v>
      </c>
      <c r="F362" s="3">
        <v>1000.0</v>
      </c>
      <c r="G362" s="4" t="s">
        <v>20</v>
      </c>
      <c r="H362" s="3">
        <v>35.86242872374527</v>
      </c>
      <c r="I362" s="3"/>
      <c r="J362" s="5"/>
    </row>
    <row r="363" ht="14.25" customHeight="1">
      <c r="A363" s="3" t="s">
        <v>10</v>
      </c>
      <c r="B363" s="3" t="s">
        <v>11</v>
      </c>
      <c r="C363" s="3" t="s">
        <v>27</v>
      </c>
      <c r="D363" s="3" t="s">
        <v>13</v>
      </c>
      <c r="E363" s="3" t="s">
        <v>14</v>
      </c>
      <c r="F363" s="3">
        <v>1000.0</v>
      </c>
      <c r="G363" s="4" t="s">
        <v>21</v>
      </c>
      <c r="H363" s="3">
        <v>31.98699898810674</v>
      </c>
      <c r="I363" s="3"/>
      <c r="J363" s="5"/>
    </row>
    <row r="364" ht="14.25" customHeight="1">
      <c r="A364" s="3" t="s">
        <v>10</v>
      </c>
      <c r="B364" s="3" t="s">
        <v>11</v>
      </c>
      <c r="C364" s="3" t="s">
        <v>27</v>
      </c>
      <c r="D364" s="3" t="s">
        <v>13</v>
      </c>
      <c r="E364" s="3" t="s">
        <v>14</v>
      </c>
      <c r="F364" s="3">
        <v>1000.0</v>
      </c>
      <c r="G364" s="4" t="s">
        <v>22</v>
      </c>
      <c r="H364" s="3">
        <v>25.855373118592734</v>
      </c>
      <c r="I364" s="3"/>
      <c r="J364" s="5"/>
    </row>
    <row r="365" ht="14.25" customHeight="1">
      <c r="A365" s="3" t="s">
        <v>23</v>
      </c>
      <c r="B365" s="3" t="s">
        <v>11</v>
      </c>
      <c r="C365" s="3" t="s">
        <v>27</v>
      </c>
      <c r="D365" s="3" t="s">
        <v>13</v>
      </c>
      <c r="E365" s="3" t="s">
        <v>14</v>
      </c>
      <c r="F365" s="3">
        <v>1000.0</v>
      </c>
      <c r="G365" s="4" t="s">
        <v>15</v>
      </c>
      <c r="H365" s="3">
        <v>36.18762295071174</v>
      </c>
      <c r="I365" s="3"/>
      <c r="J365" s="5"/>
    </row>
    <row r="366" ht="14.25" customHeight="1">
      <c r="A366" s="3" t="s">
        <v>23</v>
      </c>
      <c r="B366" s="3" t="s">
        <v>11</v>
      </c>
      <c r="C366" s="3" t="s">
        <v>27</v>
      </c>
      <c r="D366" s="3" t="s">
        <v>13</v>
      </c>
      <c r="E366" s="3" t="s">
        <v>14</v>
      </c>
      <c r="F366" s="3">
        <v>1000.0</v>
      </c>
      <c r="G366" s="4" t="s">
        <v>16</v>
      </c>
      <c r="H366" s="3">
        <v>46.68680015052081</v>
      </c>
      <c r="I366" s="3"/>
      <c r="J366" s="5"/>
    </row>
    <row r="367" ht="14.25" customHeight="1">
      <c r="A367" s="3" t="s">
        <v>23</v>
      </c>
      <c r="B367" s="3" t="s">
        <v>11</v>
      </c>
      <c r="C367" s="3" t="s">
        <v>27</v>
      </c>
      <c r="D367" s="3" t="s">
        <v>13</v>
      </c>
      <c r="E367" s="3" t="s">
        <v>14</v>
      </c>
      <c r="F367" s="3">
        <v>1000.0</v>
      </c>
      <c r="G367" s="4" t="s">
        <v>17</v>
      </c>
      <c r="H367" s="3">
        <v>45.15642919589369</v>
      </c>
      <c r="I367" s="3"/>
      <c r="J367" s="5"/>
    </row>
    <row r="368" ht="14.25" customHeight="1">
      <c r="A368" s="3" t="s">
        <v>23</v>
      </c>
      <c r="B368" s="3" t="s">
        <v>11</v>
      </c>
      <c r="C368" s="3" t="s">
        <v>27</v>
      </c>
      <c r="D368" s="3" t="s">
        <v>13</v>
      </c>
      <c r="E368" s="3" t="s">
        <v>14</v>
      </c>
      <c r="F368" s="3">
        <v>1000.0</v>
      </c>
      <c r="G368" s="4" t="s">
        <v>18</v>
      </c>
      <c r="H368" s="3">
        <v>38.67555690329523</v>
      </c>
      <c r="I368" s="3"/>
      <c r="J368" s="5"/>
    </row>
    <row r="369" ht="14.25" customHeight="1">
      <c r="A369" s="3" t="s">
        <v>23</v>
      </c>
      <c r="B369" s="3" t="s">
        <v>11</v>
      </c>
      <c r="C369" s="3" t="s">
        <v>27</v>
      </c>
      <c r="D369" s="3" t="s">
        <v>13</v>
      </c>
      <c r="E369" s="3" t="s">
        <v>14</v>
      </c>
      <c r="F369" s="3">
        <v>1000.0</v>
      </c>
      <c r="G369" s="4" t="s">
        <v>19</v>
      </c>
      <c r="H369" s="3">
        <v>37.247927911165</v>
      </c>
      <c r="I369" s="3"/>
      <c r="J369" s="5"/>
    </row>
    <row r="370" ht="14.25" customHeight="1">
      <c r="A370" s="3" t="s">
        <v>23</v>
      </c>
      <c r="B370" s="3" t="s">
        <v>11</v>
      </c>
      <c r="C370" s="3" t="s">
        <v>27</v>
      </c>
      <c r="D370" s="3" t="s">
        <v>13</v>
      </c>
      <c r="E370" s="3" t="s">
        <v>14</v>
      </c>
      <c r="F370" s="3">
        <v>1000.0</v>
      </c>
      <c r="G370" s="4" t="s">
        <v>20</v>
      </c>
      <c r="H370" s="3">
        <v>43.98223425986238</v>
      </c>
      <c r="I370" s="3"/>
      <c r="J370" s="5"/>
    </row>
    <row r="371" ht="14.25" customHeight="1">
      <c r="A371" s="3" t="s">
        <v>23</v>
      </c>
      <c r="B371" s="3" t="s">
        <v>11</v>
      </c>
      <c r="C371" s="3" t="s">
        <v>27</v>
      </c>
      <c r="D371" s="3" t="s">
        <v>13</v>
      </c>
      <c r="E371" s="3" t="s">
        <v>14</v>
      </c>
      <c r="F371" s="3">
        <v>1000.0</v>
      </c>
      <c r="G371" s="4" t="s">
        <v>21</v>
      </c>
      <c r="H371" s="3">
        <v>36.63034573078334</v>
      </c>
      <c r="I371" s="3"/>
      <c r="J371" s="5"/>
    </row>
    <row r="372" ht="14.25" customHeight="1">
      <c r="A372" s="3" t="s">
        <v>23</v>
      </c>
      <c r="B372" s="3" t="s">
        <v>11</v>
      </c>
      <c r="C372" s="3" t="s">
        <v>27</v>
      </c>
      <c r="D372" s="3" t="s">
        <v>13</v>
      </c>
      <c r="E372" s="3" t="s">
        <v>14</v>
      </c>
      <c r="F372" s="3">
        <v>1000.0</v>
      </c>
      <c r="G372" s="4" t="s">
        <v>22</v>
      </c>
      <c r="H372" s="3">
        <v>29.37800910658947</v>
      </c>
      <c r="I372" s="3"/>
      <c r="J372" s="5"/>
    </row>
    <row r="373" ht="14.25" customHeight="1">
      <c r="A373" s="3" t="s">
        <v>24</v>
      </c>
      <c r="B373" s="3" t="s">
        <v>11</v>
      </c>
      <c r="C373" s="3" t="s">
        <v>27</v>
      </c>
      <c r="D373" s="3" t="s">
        <v>13</v>
      </c>
      <c r="E373" s="3" t="s">
        <v>14</v>
      </c>
      <c r="F373" s="3">
        <v>1000.0</v>
      </c>
      <c r="G373" s="4" t="s">
        <v>15</v>
      </c>
      <c r="H373" s="3">
        <v>14.102540818563057</v>
      </c>
      <c r="I373" s="3"/>
      <c r="J373" s="5"/>
    </row>
    <row r="374" ht="14.25" customHeight="1">
      <c r="A374" s="3" t="s">
        <v>24</v>
      </c>
      <c r="B374" s="3" t="s">
        <v>11</v>
      </c>
      <c r="C374" s="3" t="s">
        <v>27</v>
      </c>
      <c r="D374" s="3" t="s">
        <v>13</v>
      </c>
      <c r="E374" s="3" t="s">
        <v>14</v>
      </c>
      <c r="F374" s="3">
        <v>1000.0</v>
      </c>
      <c r="G374" s="4" t="s">
        <v>16</v>
      </c>
      <c r="H374" s="3">
        <v>23.010782029565018</v>
      </c>
      <c r="I374" s="3"/>
      <c r="J374" s="5"/>
    </row>
    <row r="375" ht="14.25" customHeight="1">
      <c r="A375" s="3" t="s">
        <v>24</v>
      </c>
      <c r="B375" s="3" t="s">
        <v>11</v>
      </c>
      <c r="C375" s="3" t="s">
        <v>27</v>
      </c>
      <c r="D375" s="3" t="s">
        <v>13</v>
      </c>
      <c r="E375" s="3" t="s">
        <v>14</v>
      </c>
      <c r="F375" s="3">
        <v>1000.0</v>
      </c>
      <c r="G375" s="4" t="s">
        <v>17</v>
      </c>
      <c r="H375" s="3">
        <v>20.53799477163019</v>
      </c>
      <c r="I375" s="3"/>
      <c r="J375" s="5"/>
    </row>
    <row r="376" ht="14.25" customHeight="1">
      <c r="A376" s="3" t="s">
        <v>24</v>
      </c>
      <c r="B376" s="3" t="s">
        <v>11</v>
      </c>
      <c r="C376" s="3" t="s">
        <v>27</v>
      </c>
      <c r="D376" s="3" t="s">
        <v>13</v>
      </c>
      <c r="E376" s="3" t="s">
        <v>14</v>
      </c>
      <c r="F376" s="3">
        <v>1000.0</v>
      </c>
      <c r="G376" s="4" t="s">
        <v>18</v>
      </c>
      <c r="H376" s="3">
        <v>14.375083080421925</v>
      </c>
      <c r="I376" s="3"/>
      <c r="J376" s="5"/>
    </row>
    <row r="377" ht="14.25" customHeight="1">
      <c r="A377" s="3" t="s">
        <v>24</v>
      </c>
      <c r="B377" s="3" t="s">
        <v>11</v>
      </c>
      <c r="C377" s="3" t="s">
        <v>27</v>
      </c>
      <c r="D377" s="3" t="s">
        <v>13</v>
      </c>
      <c r="E377" s="3" t="s">
        <v>14</v>
      </c>
      <c r="F377" s="3">
        <v>1000.0</v>
      </c>
      <c r="G377" s="4" t="s">
        <v>19</v>
      </c>
      <c r="H377" s="3">
        <v>14.34932028727215</v>
      </c>
      <c r="I377" s="3"/>
      <c r="J377" s="5"/>
    </row>
    <row r="378" ht="14.25" customHeight="1">
      <c r="A378" s="3" t="s">
        <v>24</v>
      </c>
      <c r="B378" s="3" t="s">
        <v>11</v>
      </c>
      <c r="C378" s="3" t="s">
        <v>27</v>
      </c>
      <c r="D378" s="3" t="s">
        <v>13</v>
      </c>
      <c r="E378" s="3" t="s">
        <v>14</v>
      </c>
      <c r="F378" s="3">
        <v>1000.0</v>
      </c>
      <c r="G378" s="4" t="s">
        <v>20</v>
      </c>
      <c r="H378" s="3">
        <v>21.187172332615205</v>
      </c>
      <c r="I378" s="3"/>
      <c r="J378" s="5"/>
    </row>
    <row r="379" ht="14.25" customHeight="1">
      <c r="A379" s="3" t="s">
        <v>24</v>
      </c>
      <c r="B379" s="3" t="s">
        <v>11</v>
      </c>
      <c r="C379" s="3" t="s">
        <v>27</v>
      </c>
      <c r="D379" s="3" t="s">
        <v>13</v>
      </c>
      <c r="E379" s="3" t="s">
        <v>14</v>
      </c>
      <c r="F379" s="3">
        <v>1000.0</v>
      </c>
      <c r="G379" s="4" t="s">
        <v>21</v>
      </c>
      <c r="H379" s="3">
        <v>16.34663089984205</v>
      </c>
      <c r="I379" s="3"/>
      <c r="J379" s="5"/>
    </row>
    <row r="380" ht="14.25" customHeight="1">
      <c r="A380" s="3" t="s">
        <v>24</v>
      </c>
      <c r="B380" s="3" t="s">
        <v>11</v>
      </c>
      <c r="C380" s="3" t="s">
        <v>27</v>
      </c>
      <c r="D380" s="3" t="s">
        <v>13</v>
      </c>
      <c r="E380" s="3" t="s">
        <v>14</v>
      </c>
      <c r="F380" s="3">
        <v>1000.0</v>
      </c>
      <c r="G380" s="4" t="s">
        <v>22</v>
      </c>
      <c r="H380" s="3">
        <v>10.378004106693888</v>
      </c>
      <c r="I380" s="3"/>
      <c r="J380" s="5"/>
    </row>
    <row r="381" ht="14.25" customHeight="1">
      <c r="A381" s="3" t="s">
        <v>25</v>
      </c>
      <c r="B381" s="3" t="s">
        <v>11</v>
      </c>
      <c r="C381" s="3" t="s">
        <v>27</v>
      </c>
      <c r="D381" s="3" t="s">
        <v>13</v>
      </c>
      <c r="E381" s="3" t="s">
        <v>14</v>
      </c>
      <c r="F381" s="3">
        <v>1000.0</v>
      </c>
      <c r="G381" s="4" t="s">
        <v>15</v>
      </c>
      <c r="H381" s="3">
        <v>2.111344420955078</v>
      </c>
      <c r="I381" s="3"/>
      <c r="J381" s="5"/>
    </row>
    <row r="382" ht="14.25" customHeight="1">
      <c r="A382" s="3" t="s">
        <v>25</v>
      </c>
      <c r="B382" s="3" t="s">
        <v>11</v>
      </c>
      <c r="C382" s="3" t="s">
        <v>27</v>
      </c>
      <c r="D382" s="3" t="s">
        <v>13</v>
      </c>
      <c r="E382" s="3" t="s">
        <v>14</v>
      </c>
      <c r="F382" s="3">
        <v>1000.0</v>
      </c>
      <c r="G382" s="4" t="s">
        <v>16</v>
      </c>
      <c r="H382" s="3">
        <v>3.4548848747070595</v>
      </c>
      <c r="I382" s="3"/>
      <c r="J382" s="5"/>
    </row>
    <row r="383" ht="14.25" customHeight="1">
      <c r="A383" s="3" t="s">
        <v>25</v>
      </c>
      <c r="B383" s="3" t="s">
        <v>11</v>
      </c>
      <c r="C383" s="3" t="s">
        <v>27</v>
      </c>
      <c r="D383" s="3" t="s">
        <v>13</v>
      </c>
      <c r="E383" s="3" t="s">
        <v>14</v>
      </c>
      <c r="F383" s="3">
        <v>1000.0</v>
      </c>
      <c r="G383" s="4" t="s">
        <v>17</v>
      </c>
      <c r="H383" s="3">
        <v>4.581801239792881</v>
      </c>
      <c r="I383" s="3"/>
      <c r="J383" s="5"/>
    </row>
    <row r="384" ht="14.25" customHeight="1">
      <c r="A384" s="3" t="s">
        <v>25</v>
      </c>
      <c r="B384" s="3" t="s">
        <v>11</v>
      </c>
      <c r="C384" s="3" t="s">
        <v>27</v>
      </c>
      <c r="D384" s="3" t="s">
        <v>13</v>
      </c>
      <c r="E384" s="3" t="s">
        <v>14</v>
      </c>
      <c r="F384" s="3">
        <v>1000.0</v>
      </c>
      <c r="G384" s="4" t="s">
        <v>18</v>
      </c>
      <c r="H384" s="3">
        <v>4.00686474397377</v>
      </c>
      <c r="I384" s="3"/>
      <c r="J384" s="5"/>
    </row>
    <row r="385" ht="14.25" customHeight="1">
      <c r="A385" s="3" t="s">
        <v>25</v>
      </c>
      <c r="B385" s="3" t="s">
        <v>11</v>
      </c>
      <c r="C385" s="3" t="s">
        <v>27</v>
      </c>
      <c r="D385" s="3" t="s">
        <v>13</v>
      </c>
      <c r="E385" s="3" t="s">
        <v>14</v>
      </c>
      <c r="F385" s="3">
        <v>1000.0</v>
      </c>
      <c r="G385" s="4" t="s">
        <v>19</v>
      </c>
      <c r="H385" s="3">
        <v>3.339305200649836</v>
      </c>
      <c r="I385" s="3"/>
      <c r="J385" s="5"/>
    </row>
    <row r="386" ht="14.25" customHeight="1">
      <c r="A386" s="3" t="s">
        <v>25</v>
      </c>
      <c r="B386" s="3" t="s">
        <v>11</v>
      </c>
      <c r="C386" s="3" t="s">
        <v>27</v>
      </c>
      <c r="D386" s="3" t="s">
        <v>13</v>
      </c>
      <c r="E386" s="3" t="s">
        <v>14</v>
      </c>
      <c r="F386" s="3">
        <v>1000.0</v>
      </c>
      <c r="G386" s="4" t="s">
        <v>20</v>
      </c>
      <c r="H386" s="3">
        <v>4.403579814126626</v>
      </c>
      <c r="I386" s="3"/>
      <c r="J386" s="5"/>
    </row>
    <row r="387" ht="14.25" customHeight="1">
      <c r="A387" s="3" t="s">
        <v>25</v>
      </c>
      <c r="B387" s="3" t="s">
        <v>11</v>
      </c>
      <c r="C387" s="3" t="s">
        <v>27</v>
      </c>
      <c r="D387" s="3" t="s">
        <v>13</v>
      </c>
      <c r="E387" s="3" t="s">
        <v>14</v>
      </c>
      <c r="F387" s="3">
        <v>1000.0</v>
      </c>
      <c r="G387" s="4" t="s">
        <v>21</v>
      </c>
      <c r="H387" s="3">
        <v>4.422420874108587</v>
      </c>
      <c r="I387" s="3"/>
      <c r="J387" s="5"/>
    </row>
    <row r="388" ht="14.25" customHeight="1">
      <c r="A388" s="3" t="s">
        <v>25</v>
      </c>
      <c r="B388" s="3" t="s">
        <v>11</v>
      </c>
      <c r="C388" s="3" t="s">
        <v>27</v>
      </c>
      <c r="D388" s="3" t="s">
        <v>13</v>
      </c>
      <c r="E388" s="3" t="s">
        <v>14</v>
      </c>
      <c r="F388" s="3">
        <v>1000.0</v>
      </c>
      <c r="G388" s="4" t="s">
        <v>22</v>
      </c>
      <c r="H388" s="3">
        <v>3.601684796414013</v>
      </c>
      <c r="I388" s="3"/>
      <c r="J388" s="5"/>
    </row>
    <row r="389" ht="14.25" customHeight="1">
      <c r="A389" s="3" t="s">
        <v>26</v>
      </c>
      <c r="B389" s="3" t="s">
        <v>11</v>
      </c>
      <c r="C389" s="3" t="s">
        <v>27</v>
      </c>
      <c r="D389" s="3" t="s">
        <v>13</v>
      </c>
      <c r="E389" s="3" t="s">
        <v>14</v>
      </c>
      <c r="F389" s="3">
        <v>1000.0</v>
      </c>
      <c r="G389" s="4" t="s">
        <v>15</v>
      </c>
      <c r="H389" s="3">
        <v>21.778811202767358</v>
      </c>
      <c r="I389" s="3"/>
      <c r="J389" s="5"/>
    </row>
    <row r="390" ht="14.25" customHeight="1">
      <c r="A390" s="3" t="s">
        <v>26</v>
      </c>
      <c r="B390" s="3" t="s">
        <v>11</v>
      </c>
      <c r="C390" s="3" t="s">
        <v>27</v>
      </c>
      <c r="D390" s="3" t="s">
        <v>13</v>
      </c>
      <c r="E390" s="3" t="s">
        <v>14</v>
      </c>
      <c r="F390" s="3">
        <v>1000.0</v>
      </c>
      <c r="G390" s="4" t="s">
        <v>16</v>
      </c>
      <c r="H390" s="3">
        <v>23.388456850970293</v>
      </c>
      <c r="I390" s="3"/>
      <c r="J390" s="5"/>
    </row>
    <row r="391" ht="14.25" customHeight="1">
      <c r="A391" s="3" t="s">
        <v>26</v>
      </c>
      <c r="B391" s="3" t="s">
        <v>11</v>
      </c>
      <c r="C391" s="3" t="s">
        <v>27</v>
      </c>
      <c r="D391" s="3" t="s">
        <v>13</v>
      </c>
      <c r="E391" s="3" t="s">
        <v>14</v>
      </c>
      <c r="F391" s="3">
        <v>1000.0</v>
      </c>
      <c r="G391" s="4" t="s">
        <v>17</v>
      </c>
      <c r="H391" s="3">
        <v>22.25723619754705</v>
      </c>
      <c r="I391" s="3"/>
      <c r="J391" s="5"/>
    </row>
    <row r="392" ht="14.25" customHeight="1">
      <c r="A392" s="3" t="s">
        <v>26</v>
      </c>
      <c r="B392" s="3" t="s">
        <v>11</v>
      </c>
      <c r="C392" s="3" t="s">
        <v>27</v>
      </c>
      <c r="D392" s="3" t="s">
        <v>13</v>
      </c>
      <c r="E392" s="3" t="s">
        <v>14</v>
      </c>
      <c r="F392" s="3">
        <v>1000.0</v>
      </c>
      <c r="G392" s="4" t="s">
        <v>18</v>
      </c>
      <c r="H392" s="3">
        <v>20.947643094697387</v>
      </c>
      <c r="I392" s="3"/>
      <c r="J392" s="5"/>
    </row>
    <row r="393" ht="14.25" customHeight="1">
      <c r="A393" s="3" t="s">
        <v>26</v>
      </c>
      <c r="B393" s="3" t="s">
        <v>11</v>
      </c>
      <c r="C393" s="3" t="s">
        <v>27</v>
      </c>
      <c r="D393" s="3" t="s">
        <v>13</v>
      </c>
      <c r="E393" s="3" t="s">
        <v>14</v>
      </c>
      <c r="F393" s="3">
        <v>1000.0</v>
      </c>
      <c r="G393" s="4" t="s">
        <v>19</v>
      </c>
      <c r="H393" s="3">
        <v>20.21514237620883</v>
      </c>
      <c r="I393" s="3"/>
      <c r="J393" s="5"/>
    </row>
    <row r="394" ht="14.25" customHeight="1">
      <c r="A394" s="3" t="s">
        <v>26</v>
      </c>
      <c r="B394" s="3" t="s">
        <v>11</v>
      </c>
      <c r="C394" s="3" t="s">
        <v>27</v>
      </c>
      <c r="D394" s="3" t="s">
        <v>13</v>
      </c>
      <c r="E394" s="3" t="s">
        <v>14</v>
      </c>
      <c r="F394" s="3">
        <v>1000.0</v>
      </c>
      <c r="G394" s="4" t="s">
        <v>20</v>
      </c>
      <c r="H394" s="3">
        <v>19.16072944680269</v>
      </c>
      <c r="I394" s="3"/>
      <c r="J394" s="5"/>
    </row>
    <row r="395" ht="14.25" customHeight="1">
      <c r="A395" s="3" t="s">
        <v>26</v>
      </c>
      <c r="B395" s="3" t="s">
        <v>11</v>
      </c>
      <c r="C395" s="3" t="s">
        <v>27</v>
      </c>
      <c r="D395" s="3" t="s">
        <v>13</v>
      </c>
      <c r="E395" s="3" t="s">
        <v>14</v>
      </c>
      <c r="F395" s="3">
        <v>1000.0</v>
      </c>
      <c r="G395" s="4" t="s">
        <v>21</v>
      </c>
      <c r="H395" s="3">
        <v>16.213919180589958</v>
      </c>
      <c r="I395" s="3"/>
      <c r="J395" s="5"/>
    </row>
    <row r="396" ht="14.25" customHeight="1">
      <c r="A396" s="3" t="s">
        <v>26</v>
      </c>
      <c r="B396" s="3" t="s">
        <v>11</v>
      </c>
      <c r="C396" s="3" t="s">
        <v>27</v>
      </c>
      <c r="D396" s="3" t="s">
        <v>13</v>
      </c>
      <c r="E396" s="3" t="s">
        <v>14</v>
      </c>
      <c r="F396" s="3">
        <v>1000.0</v>
      </c>
      <c r="G396" s="4" t="s">
        <v>22</v>
      </c>
      <c r="H396" s="3">
        <v>15.630995411759342</v>
      </c>
      <c r="I396" s="3"/>
      <c r="J396" s="5"/>
    </row>
    <row r="397" ht="14.25" customHeight="1">
      <c r="A397" s="3" t="s">
        <v>10</v>
      </c>
      <c r="B397" s="3" t="s">
        <v>32</v>
      </c>
      <c r="C397" s="3" t="s">
        <v>33</v>
      </c>
      <c r="D397" s="3" t="s">
        <v>34</v>
      </c>
      <c r="E397" s="3" t="s">
        <v>14</v>
      </c>
      <c r="F397" s="3">
        <v>110.0</v>
      </c>
      <c r="G397" s="4" t="s">
        <v>15</v>
      </c>
      <c r="H397" s="3">
        <v>20.39222815976366</v>
      </c>
      <c r="I397" s="3"/>
      <c r="J397" s="5"/>
    </row>
    <row r="398" ht="14.25" customHeight="1">
      <c r="A398" s="3" t="s">
        <v>10</v>
      </c>
      <c r="B398" s="3" t="s">
        <v>32</v>
      </c>
      <c r="C398" s="3" t="s">
        <v>33</v>
      </c>
      <c r="D398" s="3" t="s">
        <v>34</v>
      </c>
      <c r="E398" s="3" t="s">
        <v>14</v>
      </c>
      <c r="F398" s="3">
        <v>110.0</v>
      </c>
      <c r="G398" s="4" t="s">
        <v>16</v>
      </c>
      <c r="H398" s="3">
        <v>23.32121613180952</v>
      </c>
      <c r="I398" s="3"/>
      <c r="J398" s="5"/>
    </row>
    <row r="399" ht="14.25" customHeight="1">
      <c r="A399" s="3" t="s">
        <v>10</v>
      </c>
      <c r="B399" s="3" t="s">
        <v>32</v>
      </c>
      <c r="C399" s="3" t="s">
        <v>33</v>
      </c>
      <c r="D399" s="3" t="s">
        <v>34</v>
      </c>
      <c r="E399" s="3" t="s">
        <v>14</v>
      </c>
      <c r="F399" s="3">
        <v>110.0</v>
      </c>
      <c r="G399" s="4" t="s">
        <v>17</v>
      </c>
      <c r="H399" s="3">
        <v>24.128187950071208</v>
      </c>
      <c r="I399" s="3"/>
      <c r="J399" s="5"/>
    </row>
    <row r="400" ht="14.25" customHeight="1">
      <c r="A400" s="3" t="s">
        <v>10</v>
      </c>
      <c r="B400" s="3" t="s">
        <v>32</v>
      </c>
      <c r="C400" s="3" t="s">
        <v>33</v>
      </c>
      <c r="D400" s="3" t="s">
        <v>34</v>
      </c>
      <c r="E400" s="3" t="s">
        <v>14</v>
      </c>
      <c r="F400" s="3">
        <v>110.0</v>
      </c>
      <c r="G400" s="4" t="s">
        <v>18</v>
      </c>
      <c r="H400" s="3">
        <v>23.721541150630514</v>
      </c>
      <c r="I400" s="3"/>
      <c r="J400" s="5"/>
    </row>
    <row r="401" ht="14.25" customHeight="1">
      <c r="A401" s="3" t="s">
        <v>10</v>
      </c>
      <c r="B401" s="3" t="s">
        <v>32</v>
      </c>
      <c r="C401" s="3" t="s">
        <v>33</v>
      </c>
      <c r="D401" s="3" t="s">
        <v>34</v>
      </c>
      <c r="E401" s="3" t="s">
        <v>14</v>
      </c>
      <c r="F401" s="3">
        <v>110.0</v>
      </c>
      <c r="G401" s="4" t="s">
        <v>19</v>
      </c>
      <c r="H401" s="3">
        <v>25.845202873623094</v>
      </c>
      <c r="I401" s="3"/>
      <c r="J401" s="5"/>
    </row>
    <row r="402" ht="14.25" customHeight="1">
      <c r="A402" s="3" t="s">
        <v>10</v>
      </c>
      <c r="B402" s="3" t="s">
        <v>32</v>
      </c>
      <c r="C402" s="3" t="s">
        <v>33</v>
      </c>
      <c r="D402" s="3" t="s">
        <v>34</v>
      </c>
      <c r="E402" s="3" t="s">
        <v>14</v>
      </c>
      <c r="F402" s="3">
        <v>110.0</v>
      </c>
      <c r="G402" s="4" t="s">
        <v>20</v>
      </c>
      <c r="H402" s="3">
        <v>29.106979335564603</v>
      </c>
      <c r="I402" s="3"/>
      <c r="J402" s="5"/>
    </row>
    <row r="403" ht="14.25" customHeight="1">
      <c r="A403" s="3" t="s">
        <v>10</v>
      </c>
      <c r="B403" s="3" t="s">
        <v>32</v>
      </c>
      <c r="C403" s="3" t="s">
        <v>33</v>
      </c>
      <c r="D403" s="3" t="s">
        <v>34</v>
      </c>
      <c r="E403" s="3" t="s">
        <v>14</v>
      </c>
      <c r="F403" s="3">
        <v>110.0</v>
      </c>
      <c r="G403" s="4" t="s">
        <v>21</v>
      </c>
      <c r="H403" s="3">
        <v>24.62790787268574</v>
      </c>
      <c r="I403" s="3"/>
      <c r="J403" s="5"/>
    </row>
    <row r="404" ht="14.25" customHeight="1">
      <c r="A404" s="3" t="s">
        <v>10</v>
      </c>
      <c r="B404" s="3" t="s">
        <v>32</v>
      </c>
      <c r="C404" s="3" t="s">
        <v>33</v>
      </c>
      <c r="D404" s="3" t="s">
        <v>34</v>
      </c>
      <c r="E404" s="3" t="s">
        <v>14</v>
      </c>
      <c r="F404" s="3">
        <v>110.0</v>
      </c>
      <c r="G404" s="4" t="s">
        <v>22</v>
      </c>
      <c r="H404" s="3">
        <v>25.116423758935426</v>
      </c>
      <c r="I404" s="3"/>
      <c r="J404" s="5"/>
    </row>
    <row r="405" ht="14.25" customHeight="1">
      <c r="A405" s="3" t="s">
        <v>23</v>
      </c>
      <c r="B405" s="3" t="s">
        <v>32</v>
      </c>
      <c r="C405" s="3" t="s">
        <v>33</v>
      </c>
      <c r="D405" s="3" t="s">
        <v>34</v>
      </c>
      <c r="E405" s="3" t="s">
        <v>14</v>
      </c>
      <c r="F405" s="3">
        <v>110.0</v>
      </c>
      <c r="G405" s="4" t="s">
        <v>15</v>
      </c>
      <c r="H405" s="3">
        <v>103.830492417685</v>
      </c>
      <c r="I405" s="3"/>
      <c r="J405" s="5"/>
    </row>
    <row r="406" ht="14.25" customHeight="1">
      <c r="A406" s="3" t="s">
        <v>23</v>
      </c>
      <c r="B406" s="3" t="s">
        <v>32</v>
      </c>
      <c r="C406" s="3" t="s">
        <v>33</v>
      </c>
      <c r="D406" s="3" t="s">
        <v>34</v>
      </c>
      <c r="E406" s="3" t="s">
        <v>14</v>
      </c>
      <c r="F406" s="3">
        <v>110.0</v>
      </c>
      <c r="G406" s="4" t="s">
        <v>16</v>
      </c>
      <c r="H406" s="3">
        <v>116.14685432014933</v>
      </c>
      <c r="I406" s="3"/>
      <c r="J406" s="5"/>
    </row>
    <row r="407" ht="14.25" customHeight="1">
      <c r="A407" s="3" t="s">
        <v>23</v>
      </c>
      <c r="B407" s="3" t="s">
        <v>32</v>
      </c>
      <c r="C407" s="3" t="s">
        <v>33</v>
      </c>
      <c r="D407" s="3" t="s">
        <v>34</v>
      </c>
      <c r="E407" s="3" t="s">
        <v>14</v>
      </c>
      <c r="F407" s="3">
        <v>110.0</v>
      </c>
      <c r="G407" s="4" t="s">
        <v>17</v>
      </c>
      <c r="H407" s="3">
        <v>127.04064958367084</v>
      </c>
      <c r="I407" s="3"/>
      <c r="J407" s="5"/>
    </row>
    <row r="408" ht="14.25" customHeight="1">
      <c r="A408" s="3" t="s">
        <v>23</v>
      </c>
      <c r="B408" s="3" t="s">
        <v>32</v>
      </c>
      <c r="C408" s="3" t="s">
        <v>33</v>
      </c>
      <c r="D408" s="3" t="s">
        <v>34</v>
      </c>
      <c r="E408" s="3" t="s">
        <v>14</v>
      </c>
      <c r="F408" s="3">
        <v>110.0</v>
      </c>
      <c r="G408" s="4" t="s">
        <v>18</v>
      </c>
      <c r="H408" s="3">
        <v>137.78980399893618</v>
      </c>
      <c r="I408" s="3"/>
      <c r="J408" s="5"/>
    </row>
    <row r="409" ht="14.25" customHeight="1">
      <c r="A409" s="3" t="s">
        <v>23</v>
      </c>
      <c r="B409" s="3" t="s">
        <v>32</v>
      </c>
      <c r="C409" s="3" t="s">
        <v>33</v>
      </c>
      <c r="D409" s="3" t="s">
        <v>34</v>
      </c>
      <c r="E409" s="3" t="s">
        <v>14</v>
      </c>
      <c r="F409" s="3">
        <v>110.0</v>
      </c>
      <c r="G409" s="4" t="s">
        <v>19</v>
      </c>
      <c r="H409" s="3">
        <v>134.89876495402336</v>
      </c>
      <c r="I409" s="3"/>
      <c r="J409" s="5"/>
    </row>
    <row r="410" ht="14.25" customHeight="1">
      <c r="A410" s="3" t="s">
        <v>23</v>
      </c>
      <c r="B410" s="3" t="s">
        <v>32</v>
      </c>
      <c r="C410" s="3" t="s">
        <v>33</v>
      </c>
      <c r="D410" s="3" t="s">
        <v>34</v>
      </c>
      <c r="E410" s="3" t="s">
        <v>14</v>
      </c>
      <c r="F410" s="3">
        <v>110.0</v>
      </c>
      <c r="G410" s="4" t="s">
        <v>20</v>
      </c>
      <c r="H410" s="3">
        <v>132.6092473303524</v>
      </c>
      <c r="I410" s="3"/>
      <c r="J410" s="5"/>
    </row>
    <row r="411" ht="14.25" customHeight="1">
      <c r="A411" s="3" t="s">
        <v>23</v>
      </c>
      <c r="B411" s="3" t="s">
        <v>32</v>
      </c>
      <c r="C411" s="3" t="s">
        <v>33</v>
      </c>
      <c r="D411" s="3" t="s">
        <v>34</v>
      </c>
      <c r="E411" s="3" t="s">
        <v>14</v>
      </c>
      <c r="F411" s="3">
        <v>110.0</v>
      </c>
      <c r="G411" s="4" t="s">
        <v>21</v>
      </c>
      <c r="H411" s="3">
        <v>127.39864815557522</v>
      </c>
      <c r="I411" s="3"/>
      <c r="J411" s="5"/>
    </row>
    <row r="412" ht="14.25" customHeight="1">
      <c r="A412" s="3" t="s">
        <v>23</v>
      </c>
      <c r="B412" s="3" t="s">
        <v>32</v>
      </c>
      <c r="C412" s="3" t="s">
        <v>33</v>
      </c>
      <c r="D412" s="3" t="s">
        <v>34</v>
      </c>
      <c r="E412" s="3" t="s">
        <v>14</v>
      </c>
      <c r="F412" s="3">
        <v>110.0</v>
      </c>
      <c r="G412" s="4" t="s">
        <v>22</v>
      </c>
      <c r="H412" s="3">
        <v>114.40783471193056</v>
      </c>
      <c r="I412" s="3"/>
      <c r="J412" s="5"/>
    </row>
    <row r="413" ht="14.25" customHeight="1">
      <c r="A413" s="3" t="s">
        <v>24</v>
      </c>
      <c r="B413" s="3" t="s">
        <v>32</v>
      </c>
      <c r="C413" s="3" t="s">
        <v>33</v>
      </c>
      <c r="D413" s="3" t="s">
        <v>34</v>
      </c>
      <c r="E413" s="3" t="s">
        <v>14</v>
      </c>
      <c r="F413" s="3">
        <v>110.0</v>
      </c>
      <c r="G413" s="4" t="s">
        <v>15</v>
      </c>
      <c r="H413" s="3">
        <v>21.46372641929384</v>
      </c>
      <c r="I413" s="3"/>
      <c r="J413" s="5"/>
    </row>
    <row r="414" ht="14.25" customHeight="1">
      <c r="A414" s="3" t="s">
        <v>24</v>
      </c>
      <c r="B414" s="3" t="s">
        <v>32</v>
      </c>
      <c r="C414" s="3" t="s">
        <v>33</v>
      </c>
      <c r="D414" s="3" t="s">
        <v>34</v>
      </c>
      <c r="E414" s="3" t="s">
        <v>14</v>
      </c>
      <c r="F414" s="3">
        <v>110.0</v>
      </c>
      <c r="G414" s="4" t="s">
        <v>16</v>
      </c>
      <c r="H414" s="3">
        <v>22.294661737536984</v>
      </c>
      <c r="I414" s="3"/>
      <c r="J414" s="5"/>
    </row>
    <row r="415" ht="14.25" customHeight="1">
      <c r="A415" s="3" t="s">
        <v>24</v>
      </c>
      <c r="B415" s="3" t="s">
        <v>32</v>
      </c>
      <c r="C415" s="3" t="s">
        <v>33</v>
      </c>
      <c r="D415" s="3" t="s">
        <v>34</v>
      </c>
      <c r="E415" s="3" t="s">
        <v>14</v>
      </c>
      <c r="F415" s="3">
        <v>110.0</v>
      </c>
      <c r="G415" s="4" t="s">
        <v>17</v>
      </c>
      <c r="H415" s="3">
        <v>24.37109651004381</v>
      </c>
      <c r="I415" s="3"/>
      <c r="J415" s="5"/>
    </row>
    <row r="416" ht="14.25" customHeight="1">
      <c r="A416" s="3" t="s">
        <v>24</v>
      </c>
      <c r="B416" s="3" t="s">
        <v>32</v>
      </c>
      <c r="C416" s="3" t="s">
        <v>33</v>
      </c>
      <c r="D416" s="3" t="s">
        <v>34</v>
      </c>
      <c r="E416" s="3" t="s">
        <v>14</v>
      </c>
      <c r="F416" s="3">
        <v>110.0</v>
      </c>
      <c r="G416" s="4" t="s">
        <v>18</v>
      </c>
      <c r="H416" s="3">
        <v>25.991868064369882</v>
      </c>
      <c r="I416" s="3"/>
      <c r="J416" s="5"/>
    </row>
    <row r="417" ht="14.25" customHeight="1">
      <c r="A417" s="3" t="s">
        <v>24</v>
      </c>
      <c r="B417" s="3" t="s">
        <v>32</v>
      </c>
      <c r="C417" s="3" t="s">
        <v>33</v>
      </c>
      <c r="D417" s="3" t="s">
        <v>34</v>
      </c>
      <c r="E417" s="3" t="s">
        <v>14</v>
      </c>
      <c r="F417" s="3">
        <v>110.0</v>
      </c>
      <c r="G417" s="4" t="s">
        <v>19</v>
      </c>
      <c r="H417" s="3">
        <v>25.837090995131323</v>
      </c>
      <c r="I417" s="3"/>
      <c r="J417" s="5"/>
    </row>
    <row r="418" ht="14.25" customHeight="1">
      <c r="A418" s="3" t="s">
        <v>24</v>
      </c>
      <c r="B418" s="3" t="s">
        <v>32</v>
      </c>
      <c r="C418" s="3" t="s">
        <v>33</v>
      </c>
      <c r="D418" s="3" t="s">
        <v>34</v>
      </c>
      <c r="E418" s="3" t="s">
        <v>14</v>
      </c>
      <c r="F418" s="3">
        <v>110.0</v>
      </c>
      <c r="G418" s="4" t="s">
        <v>20</v>
      </c>
      <c r="H418" s="3">
        <v>22.92857589484003</v>
      </c>
      <c r="I418" s="3"/>
      <c r="J418" s="5"/>
    </row>
    <row r="419" ht="14.25" customHeight="1">
      <c r="A419" s="3" t="s">
        <v>24</v>
      </c>
      <c r="B419" s="3" t="s">
        <v>32</v>
      </c>
      <c r="C419" s="3" t="s">
        <v>33</v>
      </c>
      <c r="D419" s="3" t="s">
        <v>34</v>
      </c>
      <c r="E419" s="3" t="s">
        <v>14</v>
      </c>
      <c r="F419" s="3">
        <v>110.0</v>
      </c>
      <c r="G419" s="4" t="s">
        <v>21</v>
      </c>
      <c r="H419" s="3">
        <v>23.269172583746478</v>
      </c>
      <c r="I419" s="3"/>
      <c r="J419" s="5"/>
    </row>
    <row r="420" ht="14.25" customHeight="1">
      <c r="A420" s="3" t="s">
        <v>24</v>
      </c>
      <c r="B420" s="3" t="s">
        <v>32</v>
      </c>
      <c r="C420" s="3" t="s">
        <v>33</v>
      </c>
      <c r="D420" s="3" t="s">
        <v>34</v>
      </c>
      <c r="E420" s="3" t="s">
        <v>14</v>
      </c>
      <c r="F420" s="3">
        <v>110.0</v>
      </c>
      <c r="G420" s="4" t="s">
        <v>22</v>
      </c>
      <c r="H420" s="3">
        <v>26.18231628182058</v>
      </c>
      <c r="I420" s="3"/>
      <c r="J420" s="5"/>
    </row>
    <row r="421" ht="14.25" customHeight="1">
      <c r="A421" s="3" t="s">
        <v>25</v>
      </c>
      <c r="B421" s="3" t="s">
        <v>32</v>
      </c>
      <c r="C421" s="3" t="s">
        <v>33</v>
      </c>
      <c r="D421" s="3" t="s">
        <v>34</v>
      </c>
      <c r="E421" s="3" t="s">
        <v>14</v>
      </c>
      <c r="F421" s="3">
        <v>110.0</v>
      </c>
      <c r="G421" s="4" t="s">
        <v>15</v>
      </c>
      <c r="H421" s="3">
        <v>45.765366685341434</v>
      </c>
      <c r="I421" s="3"/>
      <c r="J421" s="5"/>
    </row>
    <row r="422" ht="14.25" customHeight="1">
      <c r="A422" s="3" t="s">
        <v>25</v>
      </c>
      <c r="B422" s="3" t="s">
        <v>32</v>
      </c>
      <c r="C422" s="3" t="s">
        <v>33</v>
      </c>
      <c r="D422" s="3" t="s">
        <v>34</v>
      </c>
      <c r="E422" s="3" t="s">
        <v>14</v>
      </c>
      <c r="F422" s="3">
        <v>110.0</v>
      </c>
      <c r="G422" s="4" t="s">
        <v>16</v>
      </c>
      <c r="H422" s="3">
        <v>57.40598276935756</v>
      </c>
      <c r="I422" s="3"/>
      <c r="J422" s="5"/>
    </row>
    <row r="423" ht="14.25" customHeight="1">
      <c r="A423" s="3" t="s">
        <v>25</v>
      </c>
      <c r="B423" s="3" t="s">
        <v>32</v>
      </c>
      <c r="C423" s="3" t="s">
        <v>33</v>
      </c>
      <c r="D423" s="3" t="s">
        <v>34</v>
      </c>
      <c r="E423" s="3" t="s">
        <v>14</v>
      </c>
      <c r="F423" s="3">
        <v>110.0</v>
      </c>
      <c r="G423" s="4" t="s">
        <v>17</v>
      </c>
      <c r="H423" s="3">
        <v>63.48884415274039</v>
      </c>
      <c r="I423" s="3"/>
      <c r="J423" s="5"/>
    </row>
    <row r="424" ht="14.25" customHeight="1">
      <c r="A424" s="3" t="s">
        <v>25</v>
      </c>
      <c r="B424" s="3" t="s">
        <v>32</v>
      </c>
      <c r="C424" s="3" t="s">
        <v>33</v>
      </c>
      <c r="D424" s="3" t="s">
        <v>34</v>
      </c>
      <c r="E424" s="3" t="s">
        <v>14</v>
      </c>
      <c r="F424" s="3">
        <v>110.0</v>
      </c>
      <c r="G424" s="4" t="s">
        <v>18</v>
      </c>
      <c r="H424" s="3">
        <v>76.83175773827399</v>
      </c>
      <c r="I424" s="3"/>
      <c r="J424" s="5"/>
    </row>
    <row r="425" ht="14.25" customHeight="1">
      <c r="A425" s="3" t="s">
        <v>25</v>
      </c>
      <c r="B425" s="3" t="s">
        <v>32</v>
      </c>
      <c r="C425" s="3" t="s">
        <v>33</v>
      </c>
      <c r="D425" s="3" t="s">
        <v>34</v>
      </c>
      <c r="E425" s="3" t="s">
        <v>14</v>
      </c>
      <c r="F425" s="3">
        <v>110.0</v>
      </c>
      <c r="G425" s="4" t="s">
        <v>19</v>
      </c>
      <c r="H425" s="3">
        <v>71.32782869010592</v>
      </c>
      <c r="I425" s="3"/>
      <c r="J425" s="5"/>
    </row>
    <row r="426" ht="14.25" customHeight="1">
      <c r="A426" s="3" t="s">
        <v>25</v>
      </c>
      <c r="B426" s="3" t="s">
        <v>32</v>
      </c>
      <c r="C426" s="3" t="s">
        <v>33</v>
      </c>
      <c r="D426" s="3" t="s">
        <v>34</v>
      </c>
      <c r="E426" s="3" t="s">
        <v>14</v>
      </c>
      <c r="F426" s="3">
        <v>110.0</v>
      </c>
      <c r="G426" s="4" t="s">
        <v>20</v>
      </c>
      <c r="H426" s="3">
        <v>72.54930999346378</v>
      </c>
      <c r="I426" s="3"/>
      <c r="J426" s="5"/>
    </row>
    <row r="427" ht="14.25" customHeight="1">
      <c r="A427" s="3" t="s">
        <v>25</v>
      </c>
      <c r="B427" s="3" t="s">
        <v>32</v>
      </c>
      <c r="C427" s="3" t="s">
        <v>33</v>
      </c>
      <c r="D427" s="3" t="s">
        <v>34</v>
      </c>
      <c r="E427" s="3" t="s">
        <v>14</v>
      </c>
      <c r="F427" s="3">
        <v>110.0</v>
      </c>
      <c r="G427" s="4" t="s">
        <v>21</v>
      </c>
      <c r="H427" s="3">
        <v>67.72152868244905</v>
      </c>
      <c r="I427" s="3"/>
      <c r="J427" s="5"/>
    </row>
    <row r="428" ht="14.25" customHeight="1">
      <c r="A428" s="3" t="s">
        <v>25</v>
      </c>
      <c r="B428" s="3" t="s">
        <v>32</v>
      </c>
      <c r="C428" s="3" t="s">
        <v>33</v>
      </c>
      <c r="D428" s="3" t="s">
        <v>34</v>
      </c>
      <c r="E428" s="3" t="s">
        <v>14</v>
      </c>
      <c r="F428" s="3">
        <v>110.0</v>
      </c>
      <c r="G428" s="4" t="s">
        <v>22</v>
      </c>
      <c r="H428" s="3">
        <v>55.314488591384695</v>
      </c>
      <c r="I428" s="3"/>
      <c r="J428" s="5"/>
    </row>
    <row r="429" ht="14.25" customHeight="1">
      <c r="A429" s="3" t="s">
        <v>26</v>
      </c>
      <c r="B429" s="3" t="s">
        <v>32</v>
      </c>
      <c r="C429" s="3" t="s">
        <v>33</v>
      </c>
      <c r="D429" s="3" t="s">
        <v>34</v>
      </c>
      <c r="E429" s="3" t="s">
        <v>14</v>
      </c>
      <c r="F429" s="3">
        <v>110.0</v>
      </c>
      <c r="G429" s="4" t="s">
        <v>15</v>
      </c>
      <c r="H429" s="3">
        <v>50.379726941529654</v>
      </c>
      <c r="I429" s="3"/>
      <c r="J429" s="5"/>
    </row>
    <row r="430" ht="14.25" customHeight="1">
      <c r="A430" s="3" t="s">
        <v>26</v>
      </c>
      <c r="B430" s="3" t="s">
        <v>32</v>
      </c>
      <c r="C430" s="3" t="s">
        <v>33</v>
      </c>
      <c r="D430" s="3" t="s">
        <v>34</v>
      </c>
      <c r="E430" s="3" t="s">
        <v>14</v>
      </c>
      <c r="F430" s="3">
        <v>110.0</v>
      </c>
      <c r="G430" s="4" t="s">
        <v>16</v>
      </c>
      <c r="H430" s="3">
        <v>51.1948656928683</v>
      </c>
      <c r="I430" s="3"/>
      <c r="J430" s="5"/>
    </row>
    <row r="431" ht="14.25" customHeight="1">
      <c r="A431" s="3" t="s">
        <v>26</v>
      </c>
      <c r="B431" s="3" t="s">
        <v>32</v>
      </c>
      <c r="C431" s="3" t="s">
        <v>33</v>
      </c>
      <c r="D431" s="3" t="s">
        <v>34</v>
      </c>
      <c r="E431" s="3" t="s">
        <v>14</v>
      </c>
      <c r="F431" s="3">
        <v>110.0</v>
      </c>
      <c r="G431" s="4" t="s">
        <v>17</v>
      </c>
      <c r="H431" s="3">
        <v>55.97652655477111</v>
      </c>
      <c r="I431" s="3"/>
      <c r="J431" s="5"/>
    </row>
    <row r="432" ht="14.25" customHeight="1">
      <c r="A432" s="3" t="s">
        <v>26</v>
      </c>
      <c r="B432" s="3" t="s">
        <v>32</v>
      </c>
      <c r="C432" s="3" t="s">
        <v>33</v>
      </c>
      <c r="D432" s="3" t="s">
        <v>34</v>
      </c>
      <c r="E432" s="3" t="s">
        <v>14</v>
      </c>
      <c r="F432" s="3">
        <v>110.0</v>
      </c>
      <c r="G432" s="4" t="s">
        <v>18</v>
      </c>
      <c r="H432" s="3">
        <v>56.78248288225132</v>
      </c>
      <c r="I432" s="3"/>
      <c r="J432" s="5"/>
    </row>
    <row r="433" ht="14.25" customHeight="1">
      <c r="A433" s="3" t="s">
        <v>26</v>
      </c>
      <c r="B433" s="3" t="s">
        <v>32</v>
      </c>
      <c r="C433" s="3" t="s">
        <v>33</v>
      </c>
      <c r="D433" s="3" t="s">
        <v>34</v>
      </c>
      <c r="E433" s="3" t="s">
        <v>14</v>
      </c>
      <c r="F433" s="3">
        <v>110.0</v>
      </c>
      <c r="G433" s="4" t="s">
        <v>19</v>
      </c>
      <c r="H433" s="3">
        <v>57.20184544916787</v>
      </c>
      <c r="I433" s="3"/>
      <c r="J433" s="5"/>
    </row>
    <row r="434" ht="14.25" customHeight="1">
      <c r="A434" s="3" t="s">
        <v>26</v>
      </c>
      <c r="B434" s="3" t="s">
        <v>32</v>
      </c>
      <c r="C434" s="3" t="s">
        <v>33</v>
      </c>
      <c r="D434" s="3" t="s">
        <v>34</v>
      </c>
      <c r="E434" s="3" t="s">
        <v>14</v>
      </c>
      <c r="F434" s="3">
        <v>110.0</v>
      </c>
      <c r="G434" s="4" t="s">
        <v>20</v>
      </c>
      <c r="H434" s="3">
        <v>55.53406957026306</v>
      </c>
      <c r="I434" s="3"/>
      <c r="J434" s="5"/>
    </row>
    <row r="435" ht="14.25" customHeight="1">
      <c r="A435" s="3" t="s">
        <v>26</v>
      </c>
      <c r="B435" s="3" t="s">
        <v>32</v>
      </c>
      <c r="C435" s="3" t="s">
        <v>33</v>
      </c>
      <c r="D435" s="3" t="s">
        <v>34</v>
      </c>
      <c r="E435" s="3" t="s">
        <v>14</v>
      </c>
      <c r="F435" s="3">
        <v>110.0</v>
      </c>
      <c r="G435" s="4" t="s">
        <v>21</v>
      </c>
      <c r="H435" s="3">
        <v>55.44926537161957</v>
      </c>
      <c r="I435" s="3"/>
      <c r="J435" s="5"/>
    </row>
    <row r="436" ht="14.25" customHeight="1">
      <c r="A436" s="3" t="s">
        <v>26</v>
      </c>
      <c r="B436" s="3" t="s">
        <v>32</v>
      </c>
      <c r="C436" s="3" t="s">
        <v>33</v>
      </c>
      <c r="D436" s="3" t="s">
        <v>34</v>
      </c>
      <c r="E436" s="3" t="s">
        <v>14</v>
      </c>
      <c r="F436" s="3">
        <v>110.0</v>
      </c>
      <c r="G436" s="4" t="s">
        <v>22</v>
      </c>
      <c r="H436" s="3">
        <v>49.220313663768614</v>
      </c>
      <c r="I436" s="3"/>
      <c r="J436" s="5"/>
    </row>
    <row r="437" ht="14.25" customHeight="1">
      <c r="A437" s="3" t="s">
        <v>10</v>
      </c>
      <c r="B437" s="3" t="s">
        <v>32</v>
      </c>
      <c r="C437" s="3" t="s">
        <v>33</v>
      </c>
      <c r="D437" s="3" t="s">
        <v>34</v>
      </c>
      <c r="E437" s="3" t="s">
        <v>14</v>
      </c>
      <c r="F437" s="3">
        <v>180.0</v>
      </c>
      <c r="G437" s="4" t="s">
        <v>15</v>
      </c>
      <c r="H437" s="3">
        <v>16.15315255860675</v>
      </c>
      <c r="I437" s="3"/>
      <c r="J437" s="5"/>
    </row>
    <row r="438" ht="14.25" customHeight="1">
      <c r="A438" s="3" t="s">
        <v>10</v>
      </c>
      <c r="B438" s="3" t="s">
        <v>32</v>
      </c>
      <c r="C438" s="3" t="s">
        <v>33</v>
      </c>
      <c r="D438" s="3" t="s">
        <v>34</v>
      </c>
      <c r="E438" s="3" t="s">
        <v>14</v>
      </c>
      <c r="F438" s="3">
        <v>180.0</v>
      </c>
      <c r="G438" s="4" t="s">
        <v>16</v>
      </c>
      <c r="H438" s="3">
        <v>17.09824579834971</v>
      </c>
      <c r="I438" s="3"/>
      <c r="J438" s="5"/>
    </row>
    <row r="439" ht="14.25" customHeight="1">
      <c r="A439" s="3" t="s">
        <v>10</v>
      </c>
      <c r="B439" s="3" t="s">
        <v>32</v>
      </c>
      <c r="C439" s="3" t="s">
        <v>33</v>
      </c>
      <c r="D439" s="3" t="s">
        <v>34</v>
      </c>
      <c r="E439" s="3" t="s">
        <v>14</v>
      </c>
      <c r="F439" s="3">
        <v>180.0</v>
      </c>
      <c r="G439" s="4" t="s">
        <v>17</v>
      </c>
      <c r="H439" s="3">
        <v>18.53147208980782</v>
      </c>
      <c r="I439" s="3"/>
      <c r="J439" s="5"/>
    </row>
    <row r="440" ht="14.25" customHeight="1">
      <c r="A440" s="3" t="s">
        <v>10</v>
      </c>
      <c r="B440" s="3" t="s">
        <v>32</v>
      </c>
      <c r="C440" s="3" t="s">
        <v>33</v>
      </c>
      <c r="D440" s="3" t="s">
        <v>34</v>
      </c>
      <c r="E440" s="3" t="s">
        <v>14</v>
      </c>
      <c r="F440" s="3">
        <v>180.0</v>
      </c>
      <c r="G440" s="4" t="s">
        <v>18</v>
      </c>
      <c r="H440" s="3">
        <v>20.099577992469563</v>
      </c>
      <c r="I440" s="3"/>
      <c r="J440" s="5"/>
    </row>
    <row r="441" ht="14.25" customHeight="1">
      <c r="A441" s="3" t="s">
        <v>10</v>
      </c>
      <c r="B441" s="3" t="s">
        <v>32</v>
      </c>
      <c r="C441" s="3" t="s">
        <v>33</v>
      </c>
      <c r="D441" s="3" t="s">
        <v>34</v>
      </c>
      <c r="E441" s="3" t="s">
        <v>14</v>
      </c>
      <c r="F441" s="3">
        <v>180.0</v>
      </c>
      <c r="G441" s="4" t="s">
        <v>19</v>
      </c>
      <c r="H441" s="3">
        <v>22.741061337987617</v>
      </c>
      <c r="I441" s="3"/>
      <c r="J441" s="5"/>
    </row>
    <row r="442" ht="14.25" customHeight="1">
      <c r="A442" s="3" t="s">
        <v>10</v>
      </c>
      <c r="B442" s="3" t="s">
        <v>32</v>
      </c>
      <c r="C442" s="3" t="s">
        <v>33</v>
      </c>
      <c r="D442" s="3" t="s">
        <v>34</v>
      </c>
      <c r="E442" s="3" t="s">
        <v>14</v>
      </c>
      <c r="F442" s="3">
        <v>180.0</v>
      </c>
      <c r="G442" s="4" t="s">
        <v>20</v>
      </c>
      <c r="H442" s="3">
        <v>24.27222314031529</v>
      </c>
      <c r="I442" s="3"/>
      <c r="J442" s="5"/>
    </row>
    <row r="443" ht="14.25" customHeight="1">
      <c r="A443" s="3" t="s">
        <v>10</v>
      </c>
      <c r="B443" s="3" t="s">
        <v>32</v>
      </c>
      <c r="C443" s="3" t="s">
        <v>33</v>
      </c>
      <c r="D443" s="3" t="s">
        <v>34</v>
      </c>
      <c r="E443" s="3" t="s">
        <v>14</v>
      </c>
      <c r="F443" s="3">
        <v>180.0</v>
      </c>
      <c r="G443" s="4" t="s">
        <v>21</v>
      </c>
      <c r="H443" s="3">
        <v>25.654546475225516</v>
      </c>
      <c r="I443" s="3"/>
      <c r="J443" s="5"/>
    </row>
    <row r="444" ht="14.25" customHeight="1">
      <c r="A444" s="3" t="s">
        <v>10</v>
      </c>
      <c r="B444" s="3" t="s">
        <v>32</v>
      </c>
      <c r="C444" s="3" t="s">
        <v>33</v>
      </c>
      <c r="D444" s="3" t="s">
        <v>34</v>
      </c>
      <c r="E444" s="3" t="s">
        <v>14</v>
      </c>
      <c r="F444" s="3">
        <v>180.0</v>
      </c>
      <c r="G444" s="4" t="s">
        <v>22</v>
      </c>
      <c r="H444" s="3">
        <v>23.417294746703334</v>
      </c>
      <c r="I444" s="3"/>
      <c r="J444" s="5"/>
    </row>
    <row r="445" ht="14.25" customHeight="1">
      <c r="A445" s="3" t="s">
        <v>23</v>
      </c>
      <c r="B445" s="3" t="s">
        <v>32</v>
      </c>
      <c r="C445" s="3" t="s">
        <v>33</v>
      </c>
      <c r="D445" s="3" t="s">
        <v>34</v>
      </c>
      <c r="E445" s="3" t="s">
        <v>14</v>
      </c>
      <c r="F445" s="3">
        <v>180.0</v>
      </c>
      <c r="G445" s="4" t="s">
        <v>15</v>
      </c>
      <c r="H445" s="3">
        <v>105.71536514216042</v>
      </c>
      <c r="I445" s="3"/>
      <c r="J445" s="5"/>
    </row>
    <row r="446" ht="14.25" customHeight="1">
      <c r="A446" s="3" t="s">
        <v>23</v>
      </c>
      <c r="B446" s="3" t="s">
        <v>32</v>
      </c>
      <c r="C446" s="3" t="s">
        <v>33</v>
      </c>
      <c r="D446" s="3" t="s">
        <v>34</v>
      </c>
      <c r="E446" s="3" t="s">
        <v>14</v>
      </c>
      <c r="F446" s="3">
        <v>180.0</v>
      </c>
      <c r="G446" s="4" t="s">
        <v>16</v>
      </c>
      <c r="H446" s="3">
        <v>107.60725823198182</v>
      </c>
      <c r="I446" s="3"/>
      <c r="J446" s="5"/>
    </row>
    <row r="447" ht="14.25" customHeight="1">
      <c r="A447" s="3" t="s">
        <v>23</v>
      </c>
      <c r="B447" s="3" t="s">
        <v>32</v>
      </c>
      <c r="C447" s="3" t="s">
        <v>33</v>
      </c>
      <c r="D447" s="3" t="s">
        <v>34</v>
      </c>
      <c r="E447" s="3" t="s">
        <v>14</v>
      </c>
      <c r="F447" s="3">
        <v>180.0</v>
      </c>
      <c r="G447" s="4" t="s">
        <v>17</v>
      </c>
      <c r="H447" s="3">
        <v>108.15572537680735</v>
      </c>
      <c r="I447" s="3"/>
      <c r="J447" s="5"/>
    </row>
    <row r="448" ht="14.25" customHeight="1">
      <c r="A448" s="3" t="s">
        <v>23</v>
      </c>
      <c r="B448" s="3" t="s">
        <v>32</v>
      </c>
      <c r="C448" s="3" t="s">
        <v>33</v>
      </c>
      <c r="D448" s="3" t="s">
        <v>34</v>
      </c>
      <c r="E448" s="3" t="s">
        <v>14</v>
      </c>
      <c r="F448" s="3">
        <v>180.0</v>
      </c>
      <c r="G448" s="4" t="s">
        <v>18</v>
      </c>
      <c r="H448" s="3">
        <v>108.03514056107514</v>
      </c>
      <c r="I448" s="3"/>
      <c r="J448" s="5"/>
    </row>
    <row r="449" ht="14.25" customHeight="1">
      <c r="A449" s="3" t="s">
        <v>23</v>
      </c>
      <c r="B449" s="3" t="s">
        <v>32</v>
      </c>
      <c r="C449" s="3" t="s">
        <v>33</v>
      </c>
      <c r="D449" s="3" t="s">
        <v>34</v>
      </c>
      <c r="E449" s="3" t="s">
        <v>14</v>
      </c>
      <c r="F449" s="3">
        <v>180.0</v>
      </c>
      <c r="G449" s="4" t="s">
        <v>19</v>
      </c>
      <c r="H449" s="3">
        <v>118.29834958458463</v>
      </c>
      <c r="I449" s="3"/>
      <c r="J449" s="5"/>
    </row>
    <row r="450" ht="14.25" customHeight="1">
      <c r="A450" s="3" t="s">
        <v>23</v>
      </c>
      <c r="B450" s="3" t="s">
        <v>32</v>
      </c>
      <c r="C450" s="3" t="s">
        <v>33</v>
      </c>
      <c r="D450" s="3" t="s">
        <v>34</v>
      </c>
      <c r="E450" s="3" t="s">
        <v>14</v>
      </c>
      <c r="F450" s="3">
        <v>180.0</v>
      </c>
      <c r="G450" s="4" t="s">
        <v>20</v>
      </c>
      <c r="H450" s="3">
        <v>124.09819972547739</v>
      </c>
      <c r="I450" s="3"/>
      <c r="J450" s="5"/>
    </row>
    <row r="451" ht="14.25" customHeight="1">
      <c r="A451" s="3" t="s">
        <v>23</v>
      </c>
      <c r="B451" s="3" t="s">
        <v>32</v>
      </c>
      <c r="C451" s="3" t="s">
        <v>33</v>
      </c>
      <c r="D451" s="3" t="s">
        <v>34</v>
      </c>
      <c r="E451" s="3" t="s">
        <v>14</v>
      </c>
      <c r="F451" s="3">
        <v>180.0</v>
      </c>
      <c r="G451" s="4" t="s">
        <v>21</v>
      </c>
      <c r="H451" s="3">
        <v>118.30986175315738</v>
      </c>
      <c r="I451" s="3"/>
      <c r="J451" s="5"/>
    </row>
    <row r="452" ht="14.25" customHeight="1">
      <c r="A452" s="3" t="s">
        <v>23</v>
      </c>
      <c r="B452" s="3" t="s">
        <v>32</v>
      </c>
      <c r="C452" s="3" t="s">
        <v>33</v>
      </c>
      <c r="D452" s="3" t="s">
        <v>34</v>
      </c>
      <c r="E452" s="3" t="s">
        <v>14</v>
      </c>
      <c r="F452" s="3">
        <v>180.0</v>
      </c>
      <c r="G452" s="4" t="s">
        <v>22</v>
      </c>
      <c r="H452" s="3">
        <v>94.12136175224691</v>
      </c>
      <c r="I452" s="3"/>
      <c r="J452" s="5"/>
    </row>
    <row r="453" ht="14.25" customHeight="1">
      <c r="A453" s="3" t="s">
        <v>24</v>
      </c>
      <c r="B453" s="3" t="s">
        <v>32</v>
      </c>
      <c r="C453" s="3" t="s">
        <v>33</v>
      </c>
      <c r="D453" s="3" t="s">
        <v>34</v>
      </c>
      <c r="E453" s="3" t="s">
        <v>14</v>
      </c>
      <c r="F453" s="3">
        <v>180.0</v>
      </c>
      <c r="G453" s="4" t="s">
        <v>15</v>
      </c>
      <c r="H453" s="3">
        <v>2.3943127859579345</v>
      </c>
      <c r="I453" s="3"/>
      <c r="J453" s="5"/>
    </row>
    <row r="454" ht="14.25" customHeight="1">
      <c r="A454" s="3" t="s">
        <v>24</v>
      </c>
      <c r="B454" s="3" t="s">
        <v>32</v>
      </c>
      <c r="C454" s="3" t="s">
        <v>33</v>
      </c>
      <c r="D454" s="3" t="s">
        <v>34</v>
      </c>
      <c r="E454" s="3" t="s">
        <v>14</v>
      </c>
      <c r="F454" s="3">
        <v>180.0</v>
      </c>
      <c r="G454" s="4" t="s">
        <v>16</v>
      </c>
      <c r="H454" s="3">
        <v>2.9424117429518266</v>
      </c>
      <c r="I454" s="3"/>
      <c r="J454" s="5"/>
    </row>
    <row r="455" ht="14.25" customHeight="1">
      <c r="A455" s="3" t="s">
        <v>24</v>
      </c>
      <c r="B455" s="3" t="s">
        <v>32</v>
      </c>
      <c r="C455" s="3" t="s">
        <v>33</v>
      </c>
      <c r="D455" s="3" t="s">
        <v>34</v>
      </c>
      <c r="E455" s="3" t="s">
        <v>14</v>
      </c>
      <c r="F455" s="3">
        <v>180.0</v>
      </c>
      <c r="G455" s="4" t="s">
        <v>17</v>
      </c>
      <c r="H455" s="3">
        <v>4.0072438539018735</v>
      </c>
      <c r="I455" s="3"/>
      <c r="J455" s="5"/>
    </row>
    <row r="456" ht="14.25" customHeight="1">
      <c r="A456" s="3" t="s">
        <v>24</v>
      </c>
      <c r="B456" s="3" t="s">
        <v>32</v>
      </c>
      <c r="C456" s="3" t="s">
        <v>33</v>
      </c>
      <c r="D456" s="3" t="s">
        <v>34</v>
      </c>
      <c r="E456" s="3" t="s">
        <v>14</v>
      </c>
      <c r="F456" s="3">
        <v>180.0</v>
      </c>
      <c r="G456" s="4" t="s">
        <v>18</v>
      </c>
      <c r="H456" s="3">
        <v>2.1204863592187353</v>
      </c>
      <c r="I456" s="3"/>
      <c r="J456" s="5"/>
    </row>
    <row r="457" ht="14.25" customHeight="1">
      <c r="A457" s="3" t="s">
        <v>24</v>
      </c>
      <c r="B457" s="3" t="s">
        <v>32</v>
      </c>
      <c r="C457" s="3" t="s">
        <v>33</v>
      </c>
      <c r="D457" s="3" t="s">
        <v>34</v>
      </c>
      <c r="E457" s="3" t="s">
        <v>14</v>
      </c>
      <c r="F457" s="3">
        <v>180.0</v>
      </c>
      <c r="G457" s="4" t="s">
        <v>19</v>
      </c>
      <c r="H457" s="3">
        <v>2.484781400912199</v>
      </c>
      <c r="I457" s="3"/>
      <c r="J457" s="5"/>
    </row>
    <row r="458" ht="14.25" customHeight="1">
      <c r="A458" s="3" t="s">
        <v>24</v>
      </c>
      <c r="B458" s="3" t="s">
        <v>32</v>
      </c>
      <c r="C458" s="3" t="s">
        <v>33</v>
      </c>
      <c r="D458" s="3" t="s">
        <v>34</v>
      </c>
      <c r="E458" s="3" t="s">
        <v>14</v>
      </c>
      <c r="F458" s="3">
        <v>180.0</v>
      </c>
      <c r="G458" s="4" t="s">
        <v>20</v>
      </c>
      <c r="H458" s="3">
        <v>2.4613033916543006</v>
      </c>
      <c r="I458" s="3"/>
      <c r="J458" s="5"/>
    </row>
    <row r="459" ht="14.25" customHeight="1">
      <c r="A459" s="3" t="s">
        <v>24</v>
      </c>
      <c r="B459" s="3" t="s">
        <v>32</v>
      </c>
      <c r="C459" s="3" t="s">
        <v>33</v>
      </c>
      <c r="D459" s="3" t="s">
        <v>34</v>
      </c>
      <c r="E459" s="3" t="s">
        <v>14</v>
      </c>
      <c r="F459" s="3">
        <v>180.0</v>
      </c>
      <c r="G459" s="4" t="s">
        <v>21</v>
      </c>
      <c r="H459" s="3">
        <v>1.3175708811147624</v>
      </c>
      <c r="I459" s="3"/>
      <c r="J459" s="5"/>
    </row>
    <row r="460" ht="14.25" customHeight="1">
      <c r="A460" s="3" t="s">
        <v>24</v>
      </c>
      <c r="B460" s="3" t="s">
        <v>32</v>
      </c>
      <c r="C460" s="3" t="s">
        <v>33</v>
      </c>
      <c r="D460" s="3" t="s">
        <v>34</v>
      </c>
      <c r="E460" s="3" t="s">
        <v>14</v>
      </c>
      <c r="F460" s="3">
        <v>180.0</v>
      </c>
      <c r="G460" s="4" t="s">
        <v>22</v>
      </c>
      <c r="H460" s="3">
        <v>1.3258725617173686</v>
      </c>
      <c r="I460" s="3"/>
      <c r="J460" s="5"/>
    </row>
    <row r="461" ht="14.25" customHeight="1">
      <c r="A461" s="3" t="s">
        <v>25</v>
      </c>
      <c r="B461" s="3" t="s">
        <v>32</v>
      </c>
      <c r="C461" s="3" t="s">
        <v>33</v>
      </c>
      <c r="D461" s="3" t="s">
        <v>34</v>
      </c>
      <c r="E461" s="3" t="s">
        <v>14</v>
      </c>
      <c r="F461" s="3">
        <v>180.0</v>
      </c>
      <c r="G461" s="4" t="s">
        <v>15</v>
      </c>
      <c r="H461" s="3">
        <v>18.943247601032223</v>
      </c>
      <c r="I461" s="3"/>
      <c r="J461" s="5"/>
    </row>
    <row r="462" ht="14.25" customHeight="1">
      <c r="A462" s="3" t="s">
        <v>25</v>
      </c>
      <c r="B462" s="3" t="s">
        <v>32</v>
      </c>
      <c r="C462" s="3" t="s">
        <v>33</v>
      </c>
      <c r="D462" s="3" t="s">
        <v>34</v>
      </c>
      <c r="E462" s="3" t="s">
        <v>14</v>
      </c>
      <c r="F462" s="3">
        <v>180.0</v>
      </c>
      <c r="G462" s="4" t="s">
        <v>16</v>
      </c>
      <c r="H462" s="3">
        <v>13.53693217227466</v>
      </c>
      <c r="I462" s="3"/>
      <c r="J462" s="5"/>
    </row>
    <row r="463" ht="14.25" customHeight="1">
      <c r="A463" s="3" t="s">
        <v>25</v>
      </c>
      <c r="B463" s="3" t="s">
        <v>32</v>
      </c>
      <c r="C463" s="3" t="s">
        <v>33</v>
      </c>
      <c r="D463" s="3" t="s">
        <v>34</v>
      </c>
      <c r="E463" s="3" t="s">
        <v>14</v>
      </c>
      <c r="F463" s="3">
        <v>180.0</v>
      </c>
      <c r="G463" s="4" t="s">
        <v>17</v>
      </c>
      <c r="H463" s="3">
        <v>12.226671316511531</v>
      </c>
      <c r="I463" s="3"/>
      <c r="J463" s="5"/>
    </row>
    <row r="464" ht="14.25" customHeight="1">
      <c r="A464" s="3" t="s">
        <v>25</v>
      </c>
      <c r="B464" s="3" t="s">
        <v>32</v>
      </c>
      <c r="C464" s="3" t="s">
        <v>33</v>
      </c>
      <c r="D464" s="3" t="s">
        <v>34</v>
      </c>
      <c r="E464" s="3" t="s">
        <v>14</v>
      </c>
      <c r="F464" s="3">
        <v>180.0</v>
      </c>
      <c r="G464" s="4" t="s">
        <v>18</v>
      </c>
      <c r="H464" s="3">
        <v>12.864588071214671</v>
      </c>
      <c r="I464" s="3"/>
      <c r="J464" s="5"/>
    </row>
    <row r="465" ht="14.25" customHeight="1">
      <c r="A465" s="3" t="s">
        <v>25</v>
      </c>
      <c r="B465" s="3" t="s">
        <v>32</v>
      </c>
      <c r="C465" s="3" t="s">
        <v>33</v>
      </c>
      <c r="D465" s="3" t="s">
        <v>34</v>
      </c>
      <c r="E465" s="3" t="s">
        <v>14</v>
      </c>
      <c r="F465" s="3">
        <v>180.0</v>
      </c>
      <c r="G465" s="4" t="s">
        <v>19</v>
      </c>
      <c r="H465" s="3">
        <v>17.384691918031187</v>
      </c>
      <c r="I465" s="3"/>
      <c r="J465" s="5"/>
    </row>
    <row r="466" ht="14.25" customHeight="1">
      <c r="A466" s="3" t="s">
        <v>25</v>
      </c>
      <c r="B466" s="3" t="s">
        <v>32</v>
      </c>
      <c r="C466" s="3" t="s">
        <v>33</v>
      </c>
      <c r="D466" s="3" t="s">
        <v>34</v>
      </c>
      <c r="E466" s="3" t="s">
        <v>14</v>
      </c>
      <c r="F466" s="3">
        <v>180.0</v>
      </c>
      <c r="G466" s="4" t="s">
        <v>20</v>
      </c>
      <c r="H466" s="3">
        <v>14.471894115248464</v>
      </c>
      <c r="I466" s="3"/>
      <c r="J466" s="5"/>
    </row>
    <row r="467" ht="14.25" customHeight="1">
      <c r="A467" s="3" t="s">
        <v>25</v>
      </c>
      <c r="B467" s="3" t="s">
        <v>32</v>
      </c>
      <c r="C467" s="3" t="s">
        <v>33</v>
      </c>
      <c r="D467" s="3" t="s">
        <v>34</v>
      </c>
      <c r="E467" s="3" t="s">
        <v>14</v>
      </c>
      <c r="F467" s="3">
        <v>180.0</v>
      </c>
      <c r="G467" s="4" t="s">
        <v>21</v>
      </c>
      <c r="H467" s="3">
        <v>12.002599757099285</v>
      </c>
      <c r="I467" s="3"/>
      <c r="J467" s="5"/>
    </row>
    <row r="468" ht="14.25" customHeight="1">
      <c r="A468" s="3" t="s">
        <v>25</v>
      </c>
      <c r="B468" s="3" t="s">
        <v>32</v>
      </c>
      <c r="C468" s="3" t="s">
        <v>33</v>
      </c>
      <c r="D468" s="3" t="s">
        <v>34</v>
      </c>
      <c r="E468" s="3" t="s">
        <v>14</v>
      </c>
      <c r="F468" s="3">
        <v>180.0</v>
      </c>
      <c r="G468" s="4" t="s">
        <v>22</v>
      </c>
      <c r="H468" s="3">
        <v>9.1120764241611</v>
      </c>
      <c r="I468" s="3"/>
      <c r="J468" s="5"/>
    </row>
    <row r="469" ht="14.25" customHeight="1">
      <c r="A469" s="3" t="s">
        <v>26</v>
      </c>
      <c r="B469" s="3" t="s">
        <v>32</v>
      </c>
      <c r="C469" s="3" t="s">
        <v>33</v>
      </c>
      <c r="D469" s="3" t="s">
        <v>34</v>
      </c>
      <c r="E469" s="3" t="s">
        <v>14</v>
      </c>
      <c r="F469" s="3">
        <v>180.0</v>
      </c>
      <c r="G469" s="4" t="s">
        <v>15</v>
      </c>
      <c r="H469" s="3">
        <v>72.96908232393882</v>
      </c>
      <c r="I469" s="3"/>
      <c r="J469" s="5"/>
    </row>
    <row r="470" ht="14.25" customHeight="1">
      <c r="A470" s="3" t="s">
        <v>26</v>
      </c>
      <c r="B470" s="3" t="s">
        <v>32</v>
      </c>
      <c r="C470" s="3" t="s">
        <v>33</v>
      </c>
      <c r="D470" s="3" t="s">
        <v>34</v>
      </c>
      <c r="E470" s="3" t="s">
        <v>14</v>
      </c>
      <c r="F470" s="3">
        <v>180.0</v>
      </c>
      <c r="G470" s="4" t="s">
        <v>16</v>
      </c>
      <c r="H470" s="3">
        <v>77.63821543579756</v>
      </c>
      <c r="I470" s="3"/>
      <c r="J470" s="5"/>
    </row>
    <row r="471" ht="14.25" customHeight="1">
      <c r="A471" s="3" t="s">
        <v>26</v>
      </c>
      <c r="B471" s="3" t="s">
        <v>32</v>
      </c>
      <c r="C471" s="3" t="s">
        <v>33</v>
      </c>
      <c r="D471" s="3" t="s">
        <v>34</v>
      </c>
      <c r="E471" s="3" t="s">
        <v>14</v>
      </c>
      <c r="F471" s="3">
        <v>180.0</v>
      </c>
      <c r="G471" s="4" t="s">
        <v>17</v>
      </c>
      <c r="H471" s="3">
        <v>77.2708351135356</v>
      </c>
      <c r="I471" s="3"/>
      <c r="J471" s="5"/>
    </row>
    <row r="472" ht="14.25" customHeight="1">
      <c r="A472" s="3" t="s">
        <v>26</v>
      </c>
      <c r="B472" s="3" t="s">
        <v>32</v>
      </c>
      <c r="C472" s="3" t="s">
        <v>33</v>
      </c>
      <c r="D472" s="3" t="s">
        <v>34</v>
      </c>
      <c r="E472" s="3" t="s">
        <v>14</v>
      </c>
      <c r="F472" s="3">
        <v>180.0</v>
      </c>
      <c r="G472" s="4" t="s">
        <v>18</v>
      </c>
      <c r="H472" s="3">
        <v>75.13178650313678</v>
      </c>
      <c r="I472" s="3"/>
      <c r="J472" s="5"/>
    </row>
    <row r="473" ht="14.25" customHeight="1">
      <c r="A473" s="3" t="s">
        <v>26</v>
      </c>
      <c r="B473" s="3" t="s">
        <v>32</v>
      </c>
      <c r="C473" s="3" t="s">
        <v>33</v>
      </c>
      <c r="D473" s="3" t="s">
        <v>34</v>
      </c>
      <c r="E473" s="3" t="s">
        <v>14</v>
      </c>
      <c r="F473" s="3">
        <v>180.0</v>
      </c>
      <c r="G473" s="4" t="s">
        <v>19</v>
      </c>
      <c r="H473" s="3">
        <v>82.34516702224322</v>
      </c>
      <c r="I473" s="3"/>
      <c r="J473" s="5"/>
    </row>
    <row r="474" ht="14.25" customHeight="1">
      <c r="A474" s="3" t="s">
        <v>26</v>
      </c>
      <c r="B474" s="3" t="s">
        <v>32</v>
      </c>
      <c r="C474" s="3" t="s">
        <v>33</v>
      </c>
      <c r="D474" s="3" t="s">
        <v>34</v>
      </c>
      <c r="E474" s="3" t="s">
        <v>14</v>
      </c>
      <c r="F474" s="3">
        <v>180.0</v>
      </c>
      <c r="G474" s="4" t="s">
        <v>20</v>
      </c>
      <c r="H474" s="3">
        <v>90.78257287303403</v>
      </c>
      <c r="I474" s="3"/>
      <c r="J474" s="5"/>
    </row>
    <row r="475" ht="14.25" customHeight="1">
      <c r="A475" s="3" t="s">
        <v>26</v>
      </c>
      <c r="B475" s="3" t="s">
        <v>32</v>
      </c>
      <c r="C475" s="3" t="s">
        <v>33</v>
      </c>
      <c r="D475" s="3" t="s">
        <v>34</v>
      </c>
      <c r="E475" s="3" t="s">
        <v>14</v>
      </c>
      <c r="F475" s="3">
        <v>180.0</v>
      </c>
      <c r="G475" s="4" t="s">
        <v>21</v>
      </c>
      <c r="H475" s="3">
        <v>90.7826364630361</v>
      </c>
      <c r="I475" s="3"/>
      <c r="J475" s="5"/>
    </row>
    <row r="476" ht="14.25" customHeight="1">
      <c r="A476" s="3" t="s">
        <v>26</v>
      </c>
      <c r="B476" s="3" t="s">
        <v>32</v>
      </c>
      <c r="C476" s="3" t="s">
        <v>33</v>
      </c>
      <c r="D476" s="3" t="s">
        <v>34</v>
      </c>
      <c r="E476" s="3" t="s">
        <v>14</v>
      </c>
      <c r="F476" s="3">
        <v>180.0</v>
      </c>
      <c r="G476" s="4" t="s">
        <v>22</v>
      </c>
      <c r="H476" s="3">
        <v>73.87681994723083</v>
      </c>
      <c r="I476" s="3"/>
      <c r="J476" s="5"/>
    </row>
    <row r="477" ht="14.25" customHeight="1">
      <c r="A477" s="3" t="s">
        <v>10</v>
      </c>
      <c r="B477" s="3" t="s">
        <v>32</v>
      </c>
      <c r="C477" s="3" t="s">
        <v>35</v>
      </c>
      <c r="D477" s="3" t="s">
        <v>30</v>
      </c>
      <c r="E477" s="3" t="s">
        <v>29</v>
      </c>
      <c r="F477" s="3">
        <v>220.0</v>
      </c>
      <c r="G477" s="4" t="s">
        <v>15</v>
      </c>
      <c r="H477" s="3">
        <v>21.211445961629607</v>
      </c>
      <c r="I477" s="3"/>
      <c r="J477" s="5"/>
    </row>
    <row r="478" ht="14.25" customHeight="1">
      <c r="A478" s="3" t="s">
        <v>10</v>
      </c>
      <c r="B478" s="3" t="s">
        <v>32</v>
      </c>
      <c r="C478" s="3" t="s">
        <v>35</v>
      </c>
      <c r="D478" s="3" t="s">
        <v>30</v>
      </c>
      <c r="E478" s="3" t="s">
        <v>29</v>
      </c>
      <c r="F478" s="3">
        <v>220.0</v>
      </c>
      <c r="G478" s="4" t="s">
        <v>16</v>
      </c>
      <c r="H478" s="3">
        <v>17.07617767984074</v>
      </c>
      <c r="I478" s="3"/>
      <c r="J478" s="5"/>
    </row>
    <row r="479" ht="14.25" customHeight="1">
      <c r="A479" s="3" t="s">
        <v>10</v>
      </c>
      <c r="B479" s="3" t="s">
        <v>32</v>
      </c>
      <c r="C479" s="3" t="s">
        <v>35</v>
      </c>
      <c r="D479" s="3" t="s">
        <v>30</v>
      </c>
      <c r="E479" s="3" t="s">
        <v>29</v>
      </c>
      <c r="F479" s="3">
        <v>220.0</v>
      </c>
      <c r="G479" s="4" t="s">
        <v>17</v>
      </c>
      <c r="H479" s="3">
        <v>18.671848190120883</v>
      </c>
      <c r="I479" s="3"/>
      <c r="J479" s="5"/>
    </row>
    <row r="480" ht="14.25" customHeight="1">
      <c r="A480" s="3" t="s">
        <v>10</v>
      </c>
      <c r="B480" s="3" t="s">
        <v>32</v>
      </c>
      <c r="C480" s="3" t="s">
        <v>35</v>
      </c>
      <c r="D480" s="3" t="s">
        <v>30</v>
      </c>
      <c r="E480" s="3" t="s">
        <v>29</v>
      </c>
      <c r="F480" s="3">
        <v>220.0</v>
      </c>
      <c r="G480" s="4" t="s">
        <v>18</v>
      </c>
      <c r="H480" s="3">
        <v>13.83879647689993</v>
      </c>
      <c r="I480" s="3"/>
      <c r="J480" s="5"/>
    </row>
    <row r="481" ht="14.25" customHeight="1">
      <c r="A481" s="3" t="s">
        <v>10</v>
      </c>
      <c r="B481" s="3" t="s">
        <v>32</v>
      </c>
      <c r="C481" s="3" t="s">
        <v>35</v>
      </c>
      <c r="D481" s="3" t="s">
        <v>30</v>
      </c>
      <c r="E481" s="3" t="s">
        <v>29</v>
      </c>
      <c r="F481" s="3">
        <v>220.0</v>
      </c>
      <c r="G481" s="4" t="s">
        <v>19</v>
      </c>
      <c r="H481" s="3">
        <v>18.318748668389333</v>
      </c>
      <c r="I481" s="3"/>
      <c r="J481" s="5"/>
    </row>
    <row r="482" ht="14.25" customHeight="1">
      <c r="A482" s="3" t="s">
        <v>10</v>
      </c>
      <c r="B482" s="3" t="s">
        <v>32</v>
      </c>
      <c r="C482" s="3" t="s">
        <v>35</v>
      </c>
      <c r="D482" s="3" t="s">
        <v>30</v>
      </c>
      <c r="E482" s="3" t="s">
        <v>29</v>
      </c>
      <c r="F482" s="3">
        <v>220.0</v>
      </c>
      <c r="G482" s="4" t="s">
        <v>20</v>
      </c>
      <c r="H482" s="3">
        <v>17.92556258412013</v>
      </c>
      <c r="I482" s="3"/>
      <c r="J482" s="5"/>
    </row>
    <row r="483" ht="14.25" customHeight="1">
      <c r="A483" s="3" t="s">
        <v>10</v>
      </c>
      <c r="B483" s="3" t="s">
        <v>32</v>
      </c>
      <c r="C483" s="3" t="s">
        <v>35</v>
      </c>
      <c r="D483" s="3" t="s">
        <v>30</v>
      </c>
      <c r="E483" s="3" t="s">
        <v>29</v>
      </c>
      <c r="F483" s="3">
        <v>220.0</v>
      </c>
      <c r="G483" s="4" t="s">
        <v>21</v>
      </c>
      <c r="H483" s="3">
        <v>19.829734702088786</v>
      </c>
      <c r="I483" s="3"/>
      <c r="J483" s="5"/>
    </row>
    <row r="484" ht="14.25" customHeight="1">
      <c r="A484" s="3" t="s">
        <v>10</v>
      </c>
      <c r="B484" s="3" t="s">
        <v>32</v>
      </c>
      <c r="C484" s="3" t="s">
        <v>35</v>
      </c>
      <c r="D484" s="3" t="s">
        <v>30</v>
      </c>
      <c r="E484" s="3" t="s">
        <v>29</v>
      </c>
      <c r="F484" s="3">
        <v>220.0</v>
      </c>
      <c r="G484" s="4" t="s">
        <v>22</v>
      </c>
      <c r="H484" s="3">
        <v>19.310683714361133</v>
      </c>
      <c r="I484" s="3"/>
      <c r="J484" s="5"/>
    </row>
    <row r="485" ht="14.25" customHeight="1">
      <c r="A485" s="3" t="s">
        <v>23</v>
      </c>
      <c r="B485" s="3" t="s">
        <v>32</v>
      </c>
      <c r="C485" s="3" t="s">
        <v>35</v>
      </c>
      <c r="D485" s="3" t="s">
        <v>30</v>
      </c>
      <c r="E485" s="3" t="s">
        <v>29</v>
      </c>
      <c r="F485" s="3">
        <v>220.0</v>
      </c>
      <c r="G485" s="4" t="s">
        <v>15</v>
      </c>
      <c r="H485" s="3">
        <v>69.07632257015453</v>
      </c>
      <c r="I485" s="3"/>
      <c r="J485" s="5"/>
    </row>
    <row r="486" ht="14.25" customHeight="1">
      <c r="A486" s="3" t="s">
        <v>23</v>
      </c>
      <c r="B486" s="3" t="s">
        <v>32</v>
      </c>
      <c r="C486" s="3" t="s">
        <v>35</v>
      </c>
      <c r="D486" s="3" t="s">
        <v>30</v>
      </c>
      <c r="E486" s="3" t="s">
        <v>29</v>
      </c>
      <c r="F486" s="3">
        <v>220.0</v>
      </c>
      <c r="G486" s="4" t="s">
        <v>16</v>
      </c>
      <c r="H486" s="3">
        <v>64.02467792786882</v>
      </c>
      <c r="I486" s="3"/>
      <c r="J486" s="5"/>
    </row>
    <row r="487" ht="14.25" customHeight="1">
      <c r="A487" s="3" t="s">
        <v>23</v>
      </c>
      <c r="B487" s="3" t="s">
        <v>32</v>
      </c>
      <c r="C487" s="3" t="s">
        <v>35</v>
      </c>
      <c r="D487" s="3" t="s">
        <v>30</v>
      </c>
      <c r="E487" s="3" t="s">
        <v>29</v>
      </c>
      <c r="F487" s="3">
        <v>220.0</v>
      </c>
      <c r="G487" s="4" t="s">
        <v>17</v>
      </c>
      <c r="H487" s="3">
        <v>76.41670886952184</v>
      </c>
      <c r="I487" s="3"/>
      <c r="J487" s="5"/>
    </row>
    <row r="488" ht="14.25" customHeight="1">
      <c r="A488" s="3" t="s">
        <v>23</v>
      </c>
      <c r="B488" s="3" t="s">
        <v>32</v>
      </c>
      <c r="C488" s="3" t="s">
        <v>35</v>
      </c>
      <c r="D488" s="3" t="s">
        <v>30</v>
      </c>
      <c r="E488" s="3" t="s">
        <v>29</v>
      </c>
      <c r="F488" s="3">
        <v>220.0</v>
      </c>
      <c r="G488" s="4" t="s">
        <v>18</v>
      </c>
      <c r="H488" s="3">
        <v>76.52358561998867</v>
      </c>
      <c r="I488" s="3"/>
      <c r="J488" s="5"/>
    </row>
    <row r="489" ht="14.25" customHeight="1">
      <c r="A489" s="3" t="s">
        <v>23</v>
      </c>
      <c r="B489" s="3" t="s">
        <v>32</v>
      </c>
      <c r="C489" s="3" t="s">
        <v>35</v>
      </c>
      <c r="D489" s="3" t="s">
        <v>30</v>
      </c>
      <c r="E489" s="3" t="s">
        <v>29</v>
      </c>
      <c r="F489" s="3">
        <v>220.0</v>
      </c>
      <c r="G489" s="4" t="s">
        <v>19</v>
      </c>
      <c r="H489" s="3">
        <v>95.32838544139196</v>
      </c>
      <c r="I489" s="3"/>
      <c r="J489" s="5"/>
    </row>
    <row r="490" ht="14.25" customHeight="1">
      <c r="A490" s="3" t="s">
        <v>23</v>
      </c>
      <c r="B490" s="3" t="s">
        <v>32</v>
      </c>
      <c r="C490" s="3" t="s">
        <v>35</v>
      </c>
      <c r="D490" s="3" t="s">
        <v>30</v>
      </c>
      <c r="E490" s="3" t="s">
        <v>29</v>
      </c>
      <c r="F490" s="3">
        <v>220.0</v>
      </c>
      <c r="G490" s="4" t="s">
        <v>20</v>
      </c>
      <c r="H490" s="3">
        <v>101.2142447441702</v>
      </c>
      <c r="I490" s="3"/>
      <c r="J490" s="5"/>
    </row>
    <row r="491" ht="14.25" customHeight="1">
      <c r="A491" s="3" t="s">
        <v>23</v>
      </c>
      <c r="B491" s="3" t="s">
        <v>32</v>
      </c>
      <c r="C491" s="3" t="s">
        <v>35</v>
      </c>
      <c r="D491" s="3" t="s">
        <v>30</v>
      </c>
      <c r="E491" s="3" t="s">
        <v>29</v>
      </c>
      <c r="F491" s="3">
        <v>220.0</v>
      </c>
      <c r="G491" s="4" t="s">
        <v>21</v>
      </c>
      <c r="H491" s="3">
        <v>98.31307336126734</v>
      </c>
      <c r="I491" s="3"/>
      <c r="J491" s="5"/>
    </row>
    <row r="492" ht="14.25" customHeight="1">
      <c r="A492" s="3" t="s">
        <v>23</v>
      </c>
      <c r="B492" s="3" t="s">
        <v>32</v>
      </c>
      <c r="C492" s="3" t="s">
        <v>35</v>
      </c>
      <c r="D492" s="3" t="s">
        <v>30</v>
      </c>
      <c r="E492" s="3" t="s">
        <v>29</v>
      </c>
      <c r="F492" s="3">
        <v>220.0</v>
      </c>
      <c r="G492" s="4" t="s">
        <v>22</v>
      </c>
      <c r="H492" s="3">
        <v>84.09015015582253</v>
      </c>
      <c r="I492" s="3"/>
      <c r="J492" s="5"/>
    </row>
    <row r="493" ht="14.25" customHeight="1">
      <c r="A493" s="3" t="s">
        <v>24</v>
      </c>
      <c r="B493" s="3" t="s">
        <v>32</v>
      </c>
      <c r="C493" s="3" t="s">
        <v>35</v>
      </c>
      <c r="D493" s="3" t="s">
        <v>30</v>
      </c>
      <c r="E493" s="3" t="s">
        <v>29</v>
      </c>
      <c r="F493" s="3">
        <v>220.0</v>
      </c>
      <c r="G493" s="4" t="s">
        <v>15</v>
      </c>
      <c r="H493" s="3">
        <v>0.7800333147482214</v>
      </c>
      <c r="I493" s="3"/>
      <c r="J493" s="5"/>
    </row>
    <row r="494" ht="14.25" customHeight="1">
      <c r="A494" s="3" t="s">
        <v>24</v>
      </c>
      <c r="B494" s="3" t="s">
        <v>32</v>
      </c>
      <c r="C494" s="3" t="s">
        <v>35</v>
      </c>
      <c r="D494" s="3" t="s">
        <v>30</v>
      </c>
      <c r="E494" s="3" t="s">
        <v>29</v>
      </c>
      <c r="F494" s="3">
        <v>220.0</v>
      </c>
      <c r="G494" s="4" t="s">
        <v>16</v>
      </c>
      <c r="H494" s="3">
        <v>0.5591462095111892</v>
      </c>
      <c r="I494" s="3"/>
      <c r="J494" s="5"/>
    </row>
    <row r="495" ht="14.25" customHeight="1">
      <c r="A495" s="3" t="s">
        <v>24</v>
      </c>
      <c r="B495" s="3" t="s">
        <v>32</v>
      </c>
      <c r="C495" s="3" t="s">
        <v>35</v>
      </c>
      <c r="D495" s="3" t="s">
        <v>30</v>
      </c>
      <c r="E495" s="3" t="s">
        <v>29</v>
      </c>
      <c r="F495" s="3">
        <v>220.0</v>
      </c>
      <c r="G495" s="4" t="s">
        <v>17</v>
      </c>
      <c r="H495" s="3">
        <v>0.5892830860543145</v>
      </c>
      <c r="I495" s="3"/>
      <c r="J495" s="5"/>
    </row>
    <row r="496" ht="14.25" customHeight="1">
      <c r="A496" s="3" t="s">
        <v>24</v>
      </c>
      <c r="B496" s="3" t="s">
        <v>32</v>
      </c>
      <c r="C496" s="3" t="s">
        <v>35</v>
      </c>
      <c r="D496" s="3" t="s">
        <v>30</v>
      </c>
      <c r="E496" s="3" t="s">
        <v>29</v>
      </c>
      <c r="F496" s="3">
        <v>220.0</v>
      </c>
      <c r="G496" s="4" t="s">
        <v>18</v>
      </c>
      <c r="H496" s="3">
        <v>0.82424713641138</v>
      </c>
      <c r="I496" s="3"/>
      <c r="J496" s="5"/>
    </row>
    <row r="497" ht="14.25" customHeight="1">
      <c r="A497" s="3" t="s">
        <v>24</v>
      </c>
      <c r="B497" s="3" t="s">
        <v>32</v>
      </c>
      <c r="C497" s="3" t="s">
        <v>35</v>
      </c>
      <c r="D497" s="3" t="s">
        <v>30</v>
      </c>
      <c r="E497" s="3" t="s">
        <v>29</v>
      </c>
      <c r="F497" s="3">
        <v>220.0</v>
      </c>
      <c r="G497" s="4" t="s">
        <v>19</v>
      </c>
      <c r="H497" s="3">
        <v>0.30488994395647373</v>
      </c>
      <c r="I497" s="3"/>
      <c r="J497" s="5"/>
    </row>
    <row r="498" ht="14.25" customHeight="1">
      <c r="A498" s="3" t="s">
        <v>24</v>
      </c>
      <c r="B498" s="3" t="s">
        <v>32</v>
      </c>
      <c r="C498" s="3" t="s">
        <v>35</v>
      </c>
      <c r="D498" s="3" t="s">
        <v>30</v>
      </c>
      <c r="E498" s="3" t="s">
        <v>29</v>
      </c>
      <c r="F498" s="3">
        <v>220.0</v>
      </c>
      <c r="G498" s="4" t="s">
        <v>20</v>
      </c>
      <c r="H498" s="3">
        <v>0.2482624435056701</v>
      </c>
      <c r="I498" s="3"/>
      <c r="J498" s="5"/>
    </row>
    <row r="499" ht="14.25" customHeight="1">
      <c r="A499" s="3" t="s">
        <v>24</v>
      </c>
      <c r="B499" s="3" t="s">
        <v>32</v>
      </c>
      <c r="C499" s="3" t="s">
        <v>35</v>
      </c>
      <c r="D499" s="3" t="s">
        <v>30</v>
      </c>
      <c r="E499" s="3" t="s">
        <v>29</v>
      </c>
      <c r="F499" s="3">
        <v>220.0</v>
      </c>
      <c r="G499" s="4" t="s">
        <v>21</v>
      </c>
      <c r="H499" s="3">
        <v>0.24828805513875515</v>
      </c>
      <c r="I499" s="3"/>
      <c r="J499" s="5"/>
    </row>
    <row r="500" ht="14.25" customHeight="1">
      <c r="A500" s="3" t="s">
        <v>24</v>
      </c>
      <c r="B500" s="3" t="s">
        <v>32</v>
      </c>
      <c r="C500" s="3" t="s">
        <v>35</v>
      </c>
      <c r="D500" s="3" t="s">
        <v>30</v>
      </c>
      <c r="E500" s="3" t="s">
        <v>29</v>
      </c>
      <c r="F500" s="3">
        <v>220.0</v>
      </c>
      <c r="G500" s="4" t="s">
        <v>22</v>
      </c>
      <c r="H500" s="3">
        <v>0.37216555646205096</v>
      </c>
      <c r="I500" s="3"/>
      <c r="J500" s="5"/>
    </row>
    <row r="501" ht="14.25" customHeight="1">
      <c r="A501" s="3" t="s">
        <v>25</v>
      </c>
      <c r="B501" s="3" t="s">
        <v>32</v>
      </c>
      <c r="C501" s="3" t="s">
        <v>35</v>
      </c>
      <c r="D501" s="3" t="s">
        <v>30</v>
      </c>
      <c r="E501" s="3" t="s">
        <v>29</v>
      </c>
      <c r="F501" s="3">
        <v>220.0</v>
      </c>
      <c r="G501" s="4" t="s">
        <v>15</v>
      </c>
      <c r="H501" s="3">
        <v>25.291547643626355</v>
      </c>
      <c r="I501" s="3"/>
      <c r="J501" s="5"/>
    </row>
    <row r="502" ht="14.25" customHeight="1">
      <c r="A502" s="3" t="s">
        <v>25</v>
      </c>
      <c r="B502" s="3" t="s">
        <v>32</v>
      </c>
      <c r="C502" s="3" t="s">
        <v>35</v>
      </c>
      <c r="D502" s="3" t="s">
        <v>30</v>
      </c>
      <c r="E502" s="3" t="s">
        <v>29</v>
      </c>
      <c r="F502" s="3">
        <v>220.0</v>
      </c>
      <c r="G502" s="4" t="s">
        <v>16</v>
      </c>
      <c r="H502" s="3">
        <v>26.94911387836777</v>
      </c>
      <c r="I502" s="3"/>
      <c r="J502" s="5"/>
    </row>
    <row r="503" ht="14.25" customHeight="1">
      <c r="A503" s="3" t="s">
        <v>25</v>
      </c>
      <c r="B503" s="3" t="s">
        <v>32</v>
      </c>
      <c r="C503" s="3" t="s">
        <v>35</v>
      </c>
      <c r="D503" s="3" t="s">
        <v>30</v>
      </c>
      <c r="E503" s="3" t="s">
        <v>29</v>
      </c>
      <c r="F503" s="3">
        <v>220.0</v>
      </c>
      <c r="G503" s="4" t="s">
        <v>17</v>
      </c>
      <c r="H503" s="3">
        <v>29.556312830748077</v>
      </c>
      <c r="I503" s="3"/>
      <c r="J503" s="5"/>
    </row>
    <row r="504" ht="14.25" customHeight="1">
      <c r="A504" s="3" t="s">
        <v>25</v>
      </c>
      <c r="B504" s="3" t="s">
        <v>32</v>
      </c>
      <c r="C504" s="3" t="s">
        <v>35</v>
      </c>
      <c r="D504" s="3" t="s">
        <v>30</v>
      </c>
      <c r="E504" s="3" t="s">
        <v>29</v>
      </c>
      <c r="F504" s="3">
        <v>220.0</v>
      </c>
      <c r="G504" s="4" t="s">
        <v>18</v>
      </c>
      <c r="H504" s="3">
        <v>26.854429460511312</v>
      </c>
      <c r="I504" s="3"/>
      <c r="J504" s="5"/>
    </row>
    <row r="505" ht="14.25" customHeight="1">
      <c r="A505" s="3" t="s">
        <v>25</v>
      </c>
      <c r="B505" s="3" t="s">
        <v>32</v>
      </c>
      <c r="C505" s="3" t="s">
        <v>35</v>
      </c>
      <c r="D505" s="3" t="s">
        <v>30</v>
      </c>
      <c r="E505" s="3" t="s">
        <v>29</v>
      </c>
      <c r="F505" s="3">
        <v>220.0</v>
      </c>
      <c r="G505" s="4" t="s">
        <v>19</v>
      </c>
      <c r="H505" s="3">
        <v>34.90878218186287</v>
      </c>
      <c r="I505" s="3"/>
      <c r="J505" s="5"/>
    </row>
    <row r="506" ht="14.25" customHeight="1">
      <c r="A506" s="3" t="s">
        <v>25</v>
      </c>
      <c r="B506" s="3" t="s">
        <v>32</v>
      </c>
      <c r="C506" s="3" t="s">
        <v>35</v>
      </c>
      <c r="D506" s="3" t="s">
        <v>30</v>
      </c>
      <c r="E506" s="3" t="s">
        <v>29</v>
      </c>
      <c r="F506" s="3">
        <v>220.0</v>
      </c>
      <c r="G506" s="4" t="s">
        <v>20</v>
      </c>
      <c r="H506" s="3">
        <v>37.303536111287734</v>
      </c>
      <c r="I506" s="3"/>
      <c r="J506" s="5"/>
    </row>
    <row r="507" ht="14.25" customHeight="1">
      <c r="A507" s="3" t="s">
        <v>25</v>
      </c>
      <c r="B507" s="3" t="s">
        <v>32</v>
      </c>
      <c r="C507" s="3" t="s">
        <v>35</v>
      </c>
      <c r="D507" s="3" t="s">
        <v>30</v>
      </c>
      <c r="E507" s="3" t="s">
        <v>29</v>
      </c>
      <c r="F507" s="3">
        <v>220.0</v>
      </c>
      <c r="G507" s="4" t="s">
        <v>21</v>
      </c>
      <c r="H507" s="3">
        <v>27.392063260451653</v>
      </c>
      <c r="I507" s="3"/>
      <c r="J507" s="5"/>
    </row>
    <row r="508" ht="14.25" customHeight="1">
      <c r="A508" s="3" t="s">
        <v>25</v>
      </c>
      <c r="B508" s="3" t="s">
        <v>32</v>
      </c>
      <c r="C508" s="3" t="s">
        <v>35</v>
      </c>
      <c r="D508" s="3" t="s">
        <v>30</v>
      </c>
      <c r="E508" s="3" t="s">
        <v>29</v>
      </c>
      <c r="F508" s="3">
        <v>220.0</v>
      </c>
      <c r="G508" s="4" t="s">
        <v>22</v>
      </c>
      <c r="H508" s="3">
        <v>15.459327384454205</v>
      </c>
      <c r="I508" s="3"/>
      <c r="J508" s="5"/>
    </row>
    <row r="509" ht="14.25" customHeight="1">
      <c r="A509" s="3" t="s">
        <v>26</v>
      </c>
      <c r="B509" s="3" t="s">
        <v>32</v>
      </c>
      <c r="C509" s="3" t="s">
        <v>35</v>
      </c>
      <c r="D509" s="3" t="s">
        <v>30</v>
      </c>
      <c r="E509" s="3" t="s">
        <v>29</v>
      </c>
      <c r="F509" s="3">
        <v>220.0</v>
      </c>
      <c r="G509" s="4" t="s">
        <v>15</v>
      </c>
      <c r="H509" s="3">
        <v>40.63513641453153</v>
      </c>
      <c r="I509" s="3"/>
      <c r="J509" s="5"/>
    </row>
    <row r="510" ht="14.25" customHeight="1">
      <c r="A510" s="3" t="s">
        <v>26</v>
      </c>
      <c r="B510" s="3" t="s">
        <v>32</v>
      </c>
      <c r="C510" s="3" t="s">
        <v>35</v>
      </c>
      <c r="D510" s="3" t="s">
        <v>30</v>
      </c>
      <c r="E510" s="3" t="s">
        <v>29</v>
      </c>
      <c r="F510" s="3">
        <v>220.0</v>
      </c>
      <c r="G510" s="4" t="s">
        <v>16</v>
      </c>
      <c r="H510" s="3">
        <v>35.25746084133415</v>
      </c>
      <c r="I510" s="3"/>
      <c r="J510" s="5"/>
    </row>
    <row r="511" ht="14.25" customHeight="1">
      <c r="A511" s="3" t="s">
        <v>26</v>
      </c>
      <c r="B511" s="3" t="s">
        <v>32</v>
      </c>
      <c r="C511" s="3" t="s">
        <v>35</v>
      </c>
      <c r="D511" s="3" t="s">
        <v>30</v>
      </c>
      <c r="E511" s="3" t="s">
        <v>29</v>
      </c>
      <c r="F511" s="3">
        <v>220.0</v>
      </c>
      <c r="G511" s="4" t="s">
        <v>17</v>
      </c>
      <c r="H511" s="3">
        <v>44.12627041169328</v>
      </c>
      <c r="I511" s="3"/>
      <c r="J511" s="5"/>
    </row>
    <row r="512" ht="14.25" customHeight="1">
      <c r="A512" s="3" t="s">
        <v>26</v>
      </c>
      <c r="B512" s="3" t="s">
        <v>32</v>
      </c>
      <c r="C512" s="3" t="s">
        <v>35</v>
      </c>
      <c r="D512" s="3" t="s">
        <v>30</v>
      </c>
      <c r="E512" s="3" t="s">
        <v>29</v>
      </c>
      <c r="F512" s="3">
        <v>220.0</v>
      </c>
      <c r="G512" s="4" t="s">
        <v>18</v>
      </c>
      <c r="H512" s="3">
        <v>44.94688396461187</v>
      </c>
      <c r="I512" s="3"/>
      <c r="J512" s="5"/>
    </row>
    <row r="513" ht="14.25" customHeight="1">
      <c r="A513" s="3" t="s">
        <v>26</v>
      </c>
      <c r="B513" s="3" t="s">
        <v>32</v>
      </c>
      <c r="C513" s="3" t="s">
        <v>35</v>
      </c>
      <c r="D513" s="3" t="s">
        <v>30</v>
      </c>
      <c r="E513" s="3" t="s">
        <v>29</v>
      </c>
      <c r="F513" s="3">
        <v>220.0</v>
      </c>
      <c r="G513" s="4" t="s">
        <v>19</v>
      </c>
      <c r="H513" s="3">
        <v>56.730422378588855</v>
      </c>
      <c r="I513" s="3"/>
      <c r="J513" s="5"/>
    </row>
    <row r="514" ht="14.25" customHeight="1">
      <c r="A514" s="3" t="s">
        <v>26</v>
      </c>
      <c r="B514" s="3" t="s">
        <v>32</v>
      </c>
      <c r="C514" s="3" t="s">
        <v>35</v>
      </c>
      <c r="D514" s="3" t="s">
        <v>30</v>
      </c>
      <c r="E514" s="3" t="s">
        <v>29</v>
      </c>
      <c r="F514" s="3">
        <v>220.0</v>
      </c>
      <c r="G514" s="4" t="s">
        <v>20</v>
      </c>
      <c r="H514" s="3">
        <v>61.64216740670291</v>
      </c>
      <c r="I514" s="3"/>
      <c r="J514" s="5"/>
    </row>
    <row r="515" ht="14.25" customHeight="1">
      <c r="A515" s="3" t="s">
        <v>26</v>
      </c>
      <c r="B515" s="3" t="s">
        <v>32</v>
      </c>
      <c r="C515" s="3" t="s">
        <v>35</v>
      </c>
      <c r="D515" s="3" t="s">
        <v>30</v>
      </c>
      <c r="E515" s="3" t="s">
        <v>29</v>
      </c>
      <c r="F515" s="3">
        <v>220.0</v>
      </c>
      <c r="G515" s="4" t="s">
        <v>21</v>
      </c>
      <c r="H515" s="3">
        <v>65.83845934534433</v>
      </c>
      <c r="I515" s="3"/>
      <c r="J515" s="5"/>
    </row>
    <row r="516" ht="14.25" customHeight="1">
      <c r="A516" s="3" t="s">
        <v>26</v>
      </c>
      <c r="B516" s="3" t="s">
        <v>32</v>
      </c>
      <c r="C516" s="3" t="s">
        <v>35</v>
      </c>
      <c r="D516" s="3" t="s">
        <v>30</v>
      </c>
      <c r="E516" s="3" t="s">
        <v>29</v>
      </c>
      <c r="F516" s="3">
        <v>220.0</v>
      </c>
      <c r="G516" s="4" t="s">
        <v>22</v>
      </c>
      <c r="H516" s="3">
        <v>61.75596620900054</v>
      </c>
      <c r="I516" s="3"/>
      <c r="J516" s="5"/>
    </row>
    <row r="517" ht="14.25" customHeight="1">
      <c r="A517" s="3" t="s">
        <v>10</v>
      </c>
      <c r="B517" s="3" t="s">
        <v>36</v>
      </c>
      <c r="C517" s="3" t="s">
        <v>36</v>
      </c>
      <c r="D517" s="3" t="s">
        <v>13</v>
      </c>
      <c r="E517" s="3" t="s">
        <v>14</v>
      </c>
      <c r="F517" s="3">
        <v>110.0</v>
      </c>
      <c r="G517" s="4" t="s">
        <v>15</v>
      </c>
      <c r="H517" s="3">
        <v>21.87782965951355</v>
      </c>
      <c r="I517" s="3"/>
      <c r="J517" s="5"/>
    </row>
    <row r="518" ht="14.25" customHeight="1">
      <c r="A518" s="3" t="s">
        <v>10</v>
      </c>
      <c r="B518" s="3" t="s">
        <v>36</v>
      </c>
      <c r="C518" s="3" t="s">
        <v>36</v>
      </c>
      <c r="D518" s="3" t="s">
        <v>13</v>
      </c>
      <c r="E518" s="3" t="s">
        <v>14</v>
      </c>
      <c r="F518" s="3">
        <v>110.0</v>
      </c>
      <c r="G518" s="4" t="s">
        <v>16</v>
      </c>
      <c r="H518" s="3">
        <v>21.346142475692176</v>
      </c>
      <c r="I518" s="3"/>
      <c r="J518" s="5"/>
    </row>
    <row r="519" ht="14.25" customHeight="1">
      <c r="A519" s="3" t="s">
        <v>10</v>
      </c>
      <c r="B519" s="3" t="s">
        <v>36</v>
      </c>
      <c r="C519" s="3" t="s">
        <v>36</v>
      </c>
      <c r="D519" s="3" t="s">
        <v>13</v>
      </c>
      <c r="E519" s="3" t="s">
        <v>14</v>
      </c>
      <c r="F519" s="3">
        <v>110.0</v>
      </c>
      <c r="G519" s="4" t="s">
        <v>17</v>
      </c>
      <c r="H519" s="3">
        <v>22.149355063444418</v>
      </c>
      <c r="I519" s="3"/>
      <c r="J519" s="5"/>
    </row>
    <row r="520" ht="14.25" customHeight="1">
      <c r="A520" s="3" t="s">
        <v>10</v>
      </c>
      <c r="B520" s="3" t="s">
        <v>36</v>
      </c>
      <c r="C520" s="3" t="s">
        <v>36</v>
      </c>
      <c r="D520" s="3" t="s">
        <v>13</v>
      </c>
      <c r="E520" s="3" t="s">
        <v>14</v>
      </c>
      <c r="F520" s="3">
        <v>110.0</v>
      </c>
      <c r="G520" s="4" t="s">
        <v>18</v>
      </c>
      <c r="H520" s="3">
        <v>20.593507782814555</v>
      </c>
      <c r="I520" s="3"/>
      <c r="J520" s="5"/>
    </row>
    <row r="521" ht="14.25" customHeight="1">
      <c r="A521" s="3" t="s">
        <v>10</v>
      </c>
      <c r="B521" s="3" t="s">
        <v>36</v>
      </c>
      <c r="C521" s="3" t="s">
        <v>36</v>
      </c>
      <c r="D521" s="3" t="s">
        <v>13</v>
      </c>
      <c r="E521" s="3" t="s">
        <v>14</v>
      </c>
      <c r="F521" s="3">
        <v>110.0</v>
      </c>
      <c r="G521" s="4" t="s">
        <v>19</v>
      </c>
      <c r="H521" s="3">
        <v>25.709159335609243</v>
      </c>
      <c r="I521" s="3"/>
      <c r="J521" s="5"/>
    </row>
    <row r="522" ht="14.25" customHeight="1">
      <c r="A522" s="3" t="s">
        <v>10</v>
      </c>
      <c r="B522" s="3" t="s">
        <v>36</v>
      </c>
      <c r="C522" s="3" t="s">
        <v>36</v>
      </c>
      <c r="D522" s="3" t="s">
        <v>13</v>
      </c>
      <c r="E522" s="3" t="s">
        <v>14</v>
      </c>
      <c r="F522" s="3">
        <v>110.0</v>
      </c>
      <c r="G522" s="4" t="s">
        <v>20</v>
      </c>
      <c r="H522" s="3">
        <v>28.64464192524929</v>
      </c>
      <c r="I522" s="3"/>
      <c r="J522" s="5"/>
    </row>
    <row r="523" ht="14.25" customHeight="1">
      <c r="A523" s="3" t="s">
        <v>10</v>
      </c>
      <c r="B523" s="3" t="s">
        <v>36</v>
      </c>
      <c r="C523" s="3" t="s">
        <v>36</v>
      </c>
      <c r="D523" s="3" t="s">
        <v>13</v>
      </c>
      <c r="E523" s="3" t="s">
        <v>14</v>
      </c>
      <c r="F523" s="3">
        <v>110.0</v>
      </c>
      <c r="G523" s="4" t="s">
        <v>21</v>
      </c>
      <c r="H523" s="3">
        <v>28.5304957445299</v>
      </c>
      <c r="I523" s="3"/>
      <c r="J523" s="5"/>
    </row>
    <row r="524" ht="14.25" customHeight="1">
      <c r="A524" s="3" t="s">
        <v>10</v>
      </c>
      <c r="B524" s="3" t="s">
        <v>36</v>
      </c>
      <c r="C524" s="3" t="s">
        <v>36</v>
      </c>
      <c r="D524" s="3" t="s">
        <v>13</v>
      </c>
      <c r="E524" s="3" t="s">
        <v>14</v>
      </c>
      <c r="F524" s="3">
        <v>110.0</v>
      </c>
      <c r="G524" s="4" t="s">
        <v>22</v>
      </c>
      <c r="H524" s="3">
        <v>26.8319596158113</v>
      </c>
      <c r="I524" s="3"/>
      <c r="J524" s="5"/>
    </row>
    <row r="525" ht="14.25" customHeight="1">
      <c r="A525" s="3" t="s">
        <v>23</v>
      </c>
      <c r="B525" s="3" t="s">
        <v>36</v>
      </c>
      <c r="C525" s="3" t="s">
        <v>36</v>
      </c>
      <c r="D525" s="3" t="s">
        <v>13</v>
      </c>
      <c r="E525" s="3" t="s">
        <v>14</v>
      </c>
      <c r="F525" s="3">
        <v>110.0</v>
      </c>
      <c r="G525" s="4" t="s">
        <v>15</v>
      </c>
      <c r="H525" s="3">
        <v>112.91276673960094</v>
      </c>
      <c r="I525" s="3"/>
      <c r="J525" s="5"/>
    </row>
    <row r="526" ht="14.25" customHeight="1">
      <c r="A526" s="3" t="s">
        <v>23</v>
      </c>
      <c r="B526" s="3" t="s">
        <v>36</v>
      </c>
      <c r="C526" s="3" t="s">
        <v>36</v>
      </c>
      <c r="D526" s="3" t="s">
        <v>13</v>
      </c>
      <c r="E526" s="3" t="s">
        <v>14</v>
      </c>
      <c r="F526" s="3">
        <v>110.0</v>
      </c>
      <c r="G526" s="4" t="s">
        <v>16</v>
      </c>
      <c r="H526" s="3">
        <v>97.44301235209039</v>
      </c>
      <c r="I526" s="3"/>
      <c r="J526" s="5"/>
    </row>
    <row r="527" ht="14.25" customHeight="1">
      <c r="A527" s="3" t="s">
        <v>23</v>
      </c>
      <c r="B527" s="3" t="s">
        <v>36</v>
      </c>
      <c r="C527" s="3" t="s">
        <v>36</v>
      </c>
      <c r="D527" s="3" t="s">
        <v>13</v>
      </c>
      <c r="E527" s="3" t="s">
        <v>14</v>
      </c>
      <c r="F527" s="3">
        <v>110.0</v>
      </c>
      <c r="G527" s="4" t="s">
        <v>17</v>
      </c>
      <c r="H527" s="3">
        <v>96.10064593052913</v>
      </c>
      <c r="I527" s="3"/>
      <c r="J527" s="5"/>
    </row>
    <row r="528" ht="14.25" customHeight="1">
      <c r="A528" s="3" t="s">
        <v>23</v>
      </c>
      <c r="B528" s="3" t="s">
        <v>36</v>
      </c>
      <c r="C528" s="3" t="s">
        <v>36</v>
      </c>
      <c r="D528" s="3" t="s">
        <v>13</v>
      </c>
      <c r="E528" s="3" t="s">
        <v>14</v>
      </c>
      <c r="F528" s="3">
        <v>110.0</v>
      </c>
      <c r="G528" s="4" t="s">
        <v>18</v>
      </c>
      <c r="H528" s="3">
        <v>84.01196452673896</v>
      </c>
      <c r="I528" s="3"/>
      <c r="J528" s="5"/>
    </row>
    <row r="529" ht="14.25" customHeight="1">
      <c r="A529" s="3" t="s">
        <v>23</v>
      </c>
      <c r="B529" s="3" t="s">
        <v>36</v>
      </c>
      <c r="C529" s="3" t="s">
        <v>36</v>
      </c>
      <c r="D529" s="3" t="s">
        <v>13</v>
      </c>
      <c r="E529" s="3" t="s">
        <v>14</v>
      </c>
      <c r="F529" s="3">
        <v>110.0</v>
      </c>
      <c r="G529" s="4" t="s">
        <v>19</v>
      </c>
      <c r="H529" s="3">
        <v>102.66907856288996</v>
      </c>
      <c r="I529" s="3"/>
      <c r="J529" s="5"/>
    </row>
    <row r="530" ht="14.25" customHeight="1">
      <c r="A530" s="3" t="s">
        <v>23</v>
      </c>
      <c r="B530" s="3" t="s">
        <v>36</v>
      </c>
      <c r="C530" s="3" t="s">
        <v>36</v>
      </c>
      <c r="D530" s="3" t="s">
        <v>13</v>
      </c>
      <c r="E530" s="3" t="s">
        <v>14</v>
      </c>
      <c r="F530" s="3">
        <v>110.0</v>
      </c>
      <c r="G530" s="4" t="s">
        <v>20</v>
      </c>
      <c r="H530" s="3">
        <v>99.57043482426201</v>
      </c>
      <c r="I530" s="3"/>
      <c r="J530" s="5"/>
    </row>
    <row r="531" ht="14.25" customHeight="1">
      <c r="A531" s="3" t="s">
        <v>23</v>
      </c>
      <c r="B531" s="3" t="s">
        <v>36</v>
      </c>
      <c r="C531" s="3" t="s">
        <v>36</v>
      </c>
      <c r="D531" s="3" t="s">
        <v>13</v>
      </c>
      <c r="E531" s="3" t="s">
        <v>14</v>
      </c>
      <c r="F531" s="3">
        <v>110.0</v>
      </c>
      <c r="G531" s="4" t="s">
        <v>21</v>
      </c>
      <c r="H531" s="3">
        <v>90.65672322909484</v>
      </c>
      <c r="I531" s="3"/>
      <c r="J531" s="5"/>
    </row>
    <row r="532" ht="14.25" customHeight="1">
      <c r="A532" s="3" t="s">
        <v>23</v>
      </c>
      <c r="B532" s="3" t="s">
        <v>36</v>
      </c>
      <c r="C532" s="3" t="s">
        <v>36</v>
      </c>
      <c r="D532" s="3" t="s">
        <v>13</v>
      </c>
      <c r="E532" s="3" t="s">
        <v>14</v>
      </c>
      <c r="F532" s="3">
        <v>110.0</v>
      </c>
      <c r="G532" s="4" t="s">
        <v>22</v>
      </c>
      <c r="H532" s="3">
        <v>83.20039185314535</v>
      </c>
      <c r="I532" s="3"/>
      <c r="J532" s="5"/>
    </row>
    <row r="533" ht="14.25" customHeight="1">
      <c r="A533" s="3" t="s">
        <v>24</v>
      </c>
      <c r="B533" s="3" t="s">
        <v>36</v>
      </c>
      <c r="C533" s="3" t="s">
        <v>36</v>
      </c>
      <c r="D533" s="3" t="s">
        <v>13</v>
      </c>
      <c r="E533" s="3" t="s">
        <v>14</v>
      </c>
      <c r="F533" s="3">
        <v>110.0</v>
      </c>
      <c r="G533" s="4" t="s">
        <v>15</v>
      </c>
      <c r="H533" s="3">
        <v>43.90461900547941</v>
      </c>
      <c r="I533" s="3"/>
      <c r="J533" s="5"/>
    </row>
    <row r="534" ht="14.25" customHeight="1">
      <c r="A534" s="3" t="s">
        <v>24</v>
      </c>
      <c r="B534" s="3" t="s">
        <v>36</v>
      </c>
      <c r="C534" s="3" t="s">
        <v>36</v>
      </c>
      <c r="D534" s="3" t="s">
        <v>13</v>
      </c>
      <c r="E534" s="3" t="s">
        <v>14</v>
      </c>
      <c r="F534" s="3">
        <v>110.0</v>
      </c>
      <c r="G534" s="4" t="s">
        <v>16</v>
      </c>
      <c r="H534" s="3">
        <v>36.46294947764158</v>
      </c>
      <c r="I534" s="3"/>
      <c r="J534" s="5"/>
    </row>
    <row r="535" ht="14.25" customHeight="1">
      <c r="A535" s="3" t="s">
        <v>24</v>
      </c>
      <c r="B535" s="3" t="s">
        <v>36</v>
      </c>
      <c r="C535" s="3" t="s">
        <v>36</v>
      </c>
      <c r="D535" s="3" t="s">
        <v>13</v>
      </c>
      <c r="E535" s="3" t="s">
        <v>14</v>
      </c>
      <c r="F535" s="3">
        <v>110.0</v>
      </c>
      <c r="G535" s="4" t="s">
        <v>17</v>
      </c>
      <c r="H535" s="3">
        <v>31.936141101426546</v>
      </c>
      <c r="I535" s="3"/>
      <c r="J535" s="5"/>
    </row>
    <row r="536" ht="14.25" customHeight="1">
      <c r="A536" s="3" t="s">
        <v>24</v>
      </c>
      <c r="B536" s="3" t="s">
        <v>36</v>
      </c>
      <c r="C536" s="3" t="s">
        <v>36</v>
      </c>
      <c r="D536" s="3" t="s">
        <v>13</v>
      </c>
      <c r="E536" s="3" t="s">
        <v>14</v>
      </c>
      <c r="F536" s="3">
        <v>110.0</v>
      </c>
      <c r="G536" s="4" t="s">
        <v>18</v>
      </c>
      <c r="H536" s="3">
        <v>31.069304075273813</v>
      </c>
      <c r="I536" s="3"/>
      <c r="J536" s="5"/>
    </row>
    <row r="537" ht="14.25" customHeight="1">
      <c r="A537" s="3" t="s">
        <v>24</v>
      </c>
      <c r="B537" s="3" t="s">
        <v>36</v>
      </c>
      <c r="C537" s="3" t="s">
        <v>36</v>
      </c>
      <c r="D537" s="3" t="s">
        <v>13</v>
      </c>
      <c r="E537" s="3" t="s">
        <v>14</v>
      </c>
      <c r="F537" s="3">
        <v>110.0</v>
      </c>
      <c r="G537" s="4" t="s">
        <v>19</v>
      </c>
      <c r="H537" s="3">
        <v>36.27491571113489</v>
      </c>
      <c r="I537" s="3"/>
      <c r="J537" s="5"/>
    </row>
    <row r="538" ht="14.25" customHeight="1">
      <c r="A538" s="3" t="s">
        <v>24</v>
      </c>
      <c r="B538" s="3" t="s">
        <v>36</v>
      </c>
      <c r="C538" s="3" t="s">
        <v>36</v>
      </c>
      <c r="D538" s="3" t="s">
        <v>13</v>
      </c>
      <c r="E538" s="3" t="s">
        <v>14</v>
      </c>
      <c r="F538" s="3">
        <v>110.0</v>
      </c>
      <c r="G538" s="4" t="s">
        <v>20</v>
      </c>
      <c r="H538" s="3">
        <v>35.389465733108</v>
      </c>
      <c r="I538" s="3"/>
      <c r="J538" s="5"/>
    </row>
    <row r="539" ht="14.25" customHeight="1">
      <c r="A539" s="3" t="s">
        <v>24</v>
      </c>
      <c r="B539" s="3" t="s">
        <v>36</v>
      </c>
      <c r="C539" s="3" t="s">
        <v>36</v>
      </c>
      <c r="D539" s="3" t="s">
        <v>13</v>
      </c>
      <c r="E539" s="3" t="s">
        <v>14</v>
      </c>
      <c r="F539" s="3">
        <v>110.0</v>
      </c>
      <c r="G539" s="4" t="s">
        <v>21</v>
      </c>
      <c r="H539" s="3">
        <v>33.437698239776985</v>
      </c>
      <c r="I539" s="3"/>
      <c r="J539" s="5"/>
    </row>
    <row r="540" ht="14.25" customHeight="1">
      <c r="A540" s="3" t="s">
        <v>24</v>
      </c>
      <c r="B540" s="3" t="s">
        <v>36</v>
      </c>
      <c r="C540" s="3" t="s">
        <v>36</v>
      </c>
      <c r="D540" s="3" t="s">
        <v>13</v>
      </c>
      <c r="E540" s="3" t="s">
        <v>14</v>
      </c>
      <c r="F540" s="3">
        <v>110.0</v>
      </c>
      <c r="G540" s="4" t="s">
        <v>22</v>
      </c>
      <c r="H540" s="3">
        <v>30.310966070332793</v>
      </c>
      <c r="I540" s="3"/>
      <c r="J540" s="5"/>
    </row>
    <row r="541" ht="14.25" customHeight="1">
      <c r="A541" s="3" t="s">
        <v>25</v>
      </c>
      <c r="B541" s="3" t="s">
        <v>36</v>
      </c>
      <c r="C541" s="3" t="s">
        <v>36</v>
      </c>
      <c r="D541" s="3" t="s">
        <v>13</v>
      </c>
      <c r="E541" s="3" t="s">
        <v>14</v>
      </c>
      <c r="F541" s="3">
        <v>110.0</v>
      </c>
      <c r="G541" s="4" t="s">
        <v>15</v>
      </c>
      <c r="H541" s="3">
        <v>47.84049125630765</v>
      </c>
      <c r="I541" s="3"/>
      <c r="J541" s="5"/>
    </row>
    <row r="542" ht="14.25" customHeight="1">
      <c r="A542" s="3" t="s">
        <v>25</v>
      </c>
      <c r="B542" s="3" t="s">
        <v>36</v>
      </c>
      <c r="C542" s="3" t="s">
        <v>36</v>
      </c>
      <c r="D542" s="3" t="s">
        <v>13</v>
      </c>
      <c r="E542" s="3" t="s">
        <v>14</v>
      </c>
      <c r="F542" s="3">
        <v>110.0</v>
      </c>
      <c r="G542" s="4" t="s">
        <v>16</v>
      </c>
      <c r="H542" s="3">
        <v>40.68438819095387</v>
      </c>
      <c r="I542" s="3"/>
      <c r="J542" s="5"/>
    </row>
    <row r="543" ht="14.25" customHeight="1">
      <c r="A543" s="3" t="s">
        <v>25</v>
      </c>
      <c r="B543" s="3" t="s">
        <v>36</v>
      </c>
      <c r="C543" s="3" t="s">
        <v>36</v>
      </c>
      <c r="D543" s="3" t="s">
        <v>13</v>
      </c>
      <c r="E543" s="3" t="s">
        <v>14</v>
      </c>
      <c r="F543" s="3">
        <v>110.0</v>
      </c>
      <c r="G543" s="4" t="s">
        <v>17</v>
      </c>
      <c r="H543" s="3">
        <v>44.49233950660436</v>
      </c>
      <c r="I543" s="3"/>
      <c r="J543" s="5"/>
    </row>
    <row r="544" ht="14.25" customHeight="1">
      <c r="A544" s="3" t="s">
        <v>25</v>
      </c>
      <c r="B544" s="3" t="s">
        <v>36</v>
      </c>
      <c r="C544" s="3" t="s">
        <v>36</v>
      </c>
      <c r="D544" s="3" t="s">
        <v>13</v>
      </c>
      <c r="E544" s="3" t="s">
        <v>14</v>
      </c>
      <c r="F544" s="3">
        <v>110.0</v>
      </c>
      <c r="G544" s="4" t="s">
        <v>18</v>
      </c>
      <c r="H544" s="3">
        <v>36.397152382814824</v>
      </c>
      <c r="I544" s="3"/>
      <c r="J544" s="5"/>
    </row>
    <row r="545" ht="14.25" customHeight="1">
      <c r="A545" s="3" t="s">
        <v>25</v>
      </c>
      <c r="B545" s="3" t="s">
        <v>36</v>
      </c>
      <c r="C545" s="3" t="s">
        <v>36</v>
      </c>
      <c r="D545" s="3" t="s">
        <v>13</v>
      </c>
      <c r="E545" s="3" t="s">
        <v>14</v>
      </c>
      <c r="F545" s="3">
        <v>110.0</v>
      </c>
      <c r="G545" s="4" t="s">
        <v>19</v>
      </c>
      <c r="H545" s="3">
        <v>45.695488663443356</v>
      </c>
      <c r="I545" s="3"/>
      <c r="J545" s="5"/>
    </row>
    <row r="546" ht="14.25" customHeight="1">
      <c r="A546" s="3" t="s">
        <v>25</v>
      </c>
      <c r="B546" s="3" t="s">
        <v>36</v>
      </c>
      <c r="C546" s="3" t="s">
        <v>36</v>
      </c>
      <c r="D546" s="3" t="s">
        <v>13</v>
      </c>
      <c r="E546" s="3" t="s">
        <v>14</v>
      </c>
      <c r="F546" s="3">
        <v>110.0</v>
      </c>
      <c r="G546" s="4" t="s">
        <v>20</v>
      </c>
      <c r="H546" s="3">
        <v>43.43076135028738</v>
      </c>
      <c r="I546" s="3"/>
      <c r="J546" s="5"/>
    </row>
    <row r="547" ht="14.25" customHeight="1">
      <c r="A547" s="3" t="s">
        <v>25</v>
      </c>
      <c r="B547" s="3" t="s">
        <v>36</v>
      </c>
      <c r="C547" s="3" t="s">
        <v>36</v>
      </c>
      <c r="D547" s="3" t="s">
        <v>13</v>
      </c>
      <c r="E547" s="3" t="s">
        <v>14</v>
      </c>
      <c r="F547" s="3">
        <v>110.0</v>
      </c>
      <c r="G547" s="4" t="s">
        <v>21</v>
      </c>
      <c r="H547" s="3">
        <v>37.78890583799523</v>
      </c>
      <c r="I547" s="3"/>
      <c r="J547" s="5"/>
    </row>
    <row r="548" ht="14.25" customHeight="1">
      <c r="A548" s="3" t="s">
        <v>25</v>
      </c>
      <c r="B548" s="3" t="s">
        <v>36</v>
      </c>
      <c r="C548" s="3" t="s">
        <v>36</v>
      </c>
      <c r="D548" s="3" t="s">
        <v>13</v>
      </c>
      <c r="E548" s="3" t="s">
        <v>14</v>
      </c>
      <c r="F548" s="3">
        <v>110.0</v>
      </c>
      <c r="G548" s="4" t="s">
        <v>22</v>
      </c>
      <c r="H548" s="3">
        <v>32.975449575792474</v>
      </c>
      <c r="I548" s="3"/>
      <c r="J548" s="5"/>
    </row>
    <row r="549" ht="14.25" customHeight="1">
      <c r="A549" s="3" t="s">
        <v>26</v>
      </c>
      <c r="B549" s="3" t="s">
        <v>36</v>
      </c>
      <c r="C549" s="3" t="s">
        <v>36</v>
      </c>
      <c r="D549" s="3" t="s">
        <v>13</v>
      </c>
      <c r="E549" s="3" t="s">
        <v>14</v>
      </c>
      <c r="F549" s="3">
        <v>110.0</v>
      </c>
      <c r="G549" s="4" t="s">
        <v>15</v>
      </c>
      <c r="H549" s="3">
        <v>16.073341714007398</v>
      </c>
      <c r="I549" s="3"/>
      <c r="J549" s="5"/>
    </row>
    <row r="550" ht="14.25" customHeight="1">
      <c r="A550" s="3" t="s">
        <v>26</v>
      </c>
      <c r="B550" s="3" t="s">
        <v>36</v>
      </c>
      <c r="C550" s="3" t="s">
        <v>36</v>
      </c>
      <c r="D550" s="3" t="s">
        <v>13</v>
      </c>
      <c r="E550" s="3" t="s">
        <v>14</v>
      </c>
      <c r="F550" s="3">
        <v>110.0</v>
      </c>
      <c r="G550" s="4" t="s">
        <v>16</v>
      </c>
      <c r="H550" s="3">
        <v>15.074701296579335</v>
      </c>
      <c r="I550" s="3"/>
      <c r="J550" s="5"/>
    </row>
    <row r="551" ht="14.25" customHeight="1">
      <c r="A551" s="3" t="s">
        <v>26</v>
      </c>
      <c r="B551" s="3" t="s">
        <v>36</v>
      </c>
      <c r="C551" s="3" t="s">
        <v>36</v>
      </c>
      <c r="D551" s="3" t="s">
        <v>13</v>
      </c>
      <c r="E551" s="3" t="s">
        <v>14</v>
      </c>
      <c r="F551" s="3">
        <v>110.0</v>
      </c>
      <c r="G551" s="4" t="s">
        <v>17</v>
      </c>
      <c r="H551" s="3">
        <v>13.878826051335968</v>
      </c>
      <c r="I551" s="3"/>
      <c r="J551" s="5"/>
    </row>
    <row r="552" ht="14.25" customHeight="1">
      <c r="A552" s="3" t="s">
        <v>26</v>
      </c>
      <c r="B552" s="3" t="s">
        <v>36</v>
      </c>
      <c r="C552" s="3" t="s">
        <v>36</v>
      </c>
      <c r="D552" s="3" t="s">
        <v>13</v>
      </c>
      <c r="E552" s="3" t="s">
        <v>14</v>
      </c>
      <c r="F552" s="3">
        <v>110.0</v>
      </c>
      <c r="G552" s="4" t="s">
        <v>18</v>
      </c>
      <c r="H552" s="3">
        <v>12.202956721519966</v>
      </c>
      <c r="I552" s="3"/>
      <c r="J552" s="5"/>
    </row>
    <row r="553" ht="14.25" customHeight="1">
      <c r="A553" s="3" t="s">
        <v>26</v>
      </c>
      <c r="B553" s="3" t="s">
        <v>36</v>
      </c>
      <c r="C553" s="3" t="s">
        <v>36</v>
      </c>
      <c r="D553" s="3" t="s">
        <v>13</v>
      </c>
      <c r="E553" s="3" t="s">
        <v>14</v>
      </c>
      <c r="F553" s="3">
        <v>110.0</v>
      </c>
      <c r="G553" s="4" t="s">
        <v>19</v>
      </c>
      <c r="H553" s="3">
        <v>15.457061015919786</v>
      </c>
      <c r="I553" s="3"/>
      <c r="J553" s="5"/>
    </row>
    <row r="554" ht="14.25" customHeight="1">
      <c r="A554" s="3" t="s">
        <v>26</v>
      </c>
      <c r="B554" s="3" t="s">
        <v>36</v>
      </c>
      <c r="C554" s="3" t="s">
        <v>36</v>
      </c>
      <c r="D554" s="3" t="s">
        <v>13</v>
      </c>
      <c r="E554" s="3" t="s">
        <v>14</v>
      </c>
      <c r="F554" s="3">
        <v>110.0</v>
      </c>
      <c r="G554" s="4" t="s">
        <v>20</v>
      </c>
      <c r="H554" s="3">
        <v>15.455311860317657</v>
      </c>
      <c r="I554" s="3"/>
      <c r="J554" s="5"/>
    </row>
    <row r="555" ht="14.25" customHeight="1">
      <c r="A555" s="3" t="s">
        <v>26</v>
      </c>
      <c r="B555" s="3" t="s">
        <v>36</v>
      </c>
      <c r="C555" s="3" t="s">
        <v>36</v>
      </c>
      <c r="D555" s="3" t="s">
        <v>13</v>
      </c>
      <c r="E555" s="3" t="s">
        <v>14</v>
      </c>
      <c r="F555" s="3">
        <v>110.0</v>
      </c>
      <c r="G555" s="4" t="s">
        <v>21</v>
      </c>
      <c r="H555" s="3">
        <v>15.343161898061796</v>
      </c>
      <c r="I555" s="3"/>
      <c r="J555" s="5"/>
    </row>
    <row r="556" ht="14.25" customHeight="1">
      <c r="A556" s="3" t="s">
        <v>26</v>
      </c>
      <c r="B556" s="3" t="s">
        <v>36</v>
      </c>
      <c r="C556" s="3" t="s">
        <v>36</v>
      </c>
      <c r="D556" s="3" t="s">
        <v>13</v>
      </c>
      <c r="E556" s="3" t="s">
        <v>14</v>
      </c>
      <c r="F556" s="3">
        <v>110.0</v>
      </c>
      <c r="G556" s="4" t="s">
        <v>22</v>
      </c>
      <c r="H556" s="3">
        <v>15.156424169713523</v>
      </c>
      <c r="I556" s="3"/>
      <c r="J556" s="5"/>
    </row>
    <row r="557" ht="14.25" customHeight="1">
      <c r="A557" s="3" t="s">
        <v>10</v>
      </c>
      <c r="B557" s="3" t="s">
        <v>36</v>
      </c>
      <c r="C557" s="3" t="s">
        <v>36</v>
      </c>
      <c r="D557" s="3" t="s">
        <v>37</v>
      </c>
      <c r="E557" s="3" t="s">
        <v>14</v>
      </c>
      <c r="F557" s="3">
        <v>180.0</v>
      </c>
      <c r="G557" s="4" t="s">
        <v>15</v>
      </c>
      <c r="H557" s="3">
        <v>30.679416588589973</v>
      </c>
      <c r="I557" s="3"/>
      <c r="J557" s="5"/>
    </row>
    <row r="558" ht="14.25" customHeight="1">
      <c r="A558" s="3" t="s">
        <v>10</v>
      </c>
      <c r="B558" s="3" t="s">
        <v>36</v>
      </c>
      <c r="C558" s="3" t="s">
        <v>36</v>
      </c>
      <c r="D558" s="3" t="s">
        <v>37</v>
      </c>
      <c r="E558" s="3" t="s">
        <v>14</v>
      </c>
      <c r="F558" s="3">
        <v>180.0</v>
      </c>
      <c r="G558" s="4" t="s">
        <v>16</v>
      </c>
      <c r="H558" s="3">
        <v>28.26083425979212</v>
      </c>
      <c r="I558" s="3"/>
      <c r="J558" s="5"/>
    </row>
    <row r="559" ht="14.25" customHeight="1">
      <c r="A559" s="3" t="s">
        <v>10</v>
      </c>
      <c r="B559" s="3" t="s">
        <v>36</v>
      </c>
      <c r="C559" s="3" t="s">
        <v>36</v>
      </c>
      <c r="D559" s="3" t="s">
        <v>37</v>
      </c>
      <c r="E559" s="3" t="s">
        <v>14</v>
      </c>
      <c r="F559" s="3">
        <v>180.0</v>
      </c>
      <c r="G559" s="4" t="s">
        <v>17</v>
      </c>
      <c r="H559" s="3">
        <v>29.95878789538088</v>
      </c>
      <c r="I559" s="3"/>
      <c r="J559" s="5"/>
    </row>
    <row r="560" ht="14.25" customHeight="1">
      <c r="A560" s="3" t="s">
        <v>10</v>
      </c>
      <c r="B560" s="3" t="s">
        <v>36</v>
      </c>
      <c r="C560" s="3" t="s">
        <v>36</v>
      </c>
      <c r="D560" s="3" t="s">
        <v>37</v>
      </c>
      <c r="E560" s="3" t="s">
        <v>14</v>
      </c>
      <c r="F560" s="3">
        <v>180.0</v>
      </c>
      <c r="G560" s="4" t="s">
        <v>18</v>
      </c>
      <c r="H560" s="3">
        <v>31.573491772462113</v>
      </c>
      <c r="I560" s="3"/>
      <c r="J560" s="5"/>
    </row>
    <row r="561" ht="14.25" customHeight="1">
      <c r="A561" s="3" t="s">
        <v>10</v>
      </c>
      <c r="B561" s="3" t="s">
        <v>36</v>
      </c>
      <c r="C561" s="3" t="s">
        <v>36</v>
      </c>
      <c r="D561" s="3" t="s">
        <v>37</v>
      </c>
      <c r="E561" s="3" t="s">
        <v>14</v>
      </c>
      <c r="F561" s="3">
        <v>180.0</v>
      </c>
      <c r="G561" s="4" t="s">
        <v>19</v>
      </c>
      <c r="H561" s="3">
        <v>36.38090826644178</v>
      </c>
      <c r="I561" s="3"/>
      <c r="J561" s="5"/>
    </row>
    <row r="562" ht="14.25" customHeight="1">
      <c r="A562" s="3" t="s">
        <v>10</v>
      </c>
      <c r="B562" s="3" t="s">
        <v>36</v>
      </c>
      <c r="C562" s="3" t="s">
        <v>36</v>
      </c>
      <c r="D562" s="3" t="s">
        <v>37</v>
      </c>
      <c r="E562" s="3" t="s">
        <v>14</v>
      </c>
      <c r="F562" s="3">
        <v>180.0</v>
      </c>
      <c r="G562" s="4" t="s">
        <v>20</v>
      </c>
      <c r="H562" s="3">
        <v>38.72539574363796</v>
      </c>
      <c r="I562" s="3"/>
      <c r="J562" s="5"/>
    </row>
    <row r="563" ht="14.25" customHeight="1">
      <c r="A563" s="3" t="s">
        <v>10</v>
      </c>
      <c r="B563" s="3" t="s">
        <v>36</v>
      </c>
      <c r="C563" s="3" t="s">
        <v>36</v>
      </c>
      <c r="D563" s="3" t="s">
        <v>37</v>
      </c>
      <c r="E563" s="3" t="s">
        <v>14</v>
      </c>
      <c r="F563" s="3">
        <v>180.0</v>
      </c>
      <c r="G563" s="4" t="s">
        <v>21</v>
      </c>
      <c r="H563" s="3">
        <v>38.77347145636723</v>
      </c>
      <c r="I563" s="3"/>
      <c r="J563" s="5"/>
    </row>
    <row r="564" ht="14.25" customHeight="1">
      <c r="A564" s="3" t="s">
        <v>10</v>
      </c>
      <c r="B564" s="3" t="s">
        <v>36</v>
      </c>
      <c r="C564" s="3" t="s">
        <v>36</v>
      </c>
      <c r="D564" s="3" t="s">
        <v>37</v>
      </c>
      <c r="E564" s="3" t="s">
        <v>14</v>
      </c>
      <c r="F564" s="3">
        <v>180.0</v>
      </c>
      <c r="G564" s="4" t="s">
        <v>22</v>
      </c>
      <c r="H564" s="3">
        <v>40.3709638943521</v>
      </c>
      <c r="I564" s="3"/>
      <c r="J564" s="5"/>
    </row>
    <row r="565" ht="14.25" customHeight="1">
      <c r="A565" s="3" t="s">
        <v>23</v>
      </c>
      <c r="B565" s="3" t="s">
        <v>36</v>
      </c>
      <c r="C565" s="3" t="s">
        <v>36</v>
      </c>
      <c r="D565" s="3" t="s">
        <v>37</v>
      </c>
      <c r="E565" s="3" t="s">
        <v>14</v>
      </c>
      <c r="F565" s="3">
        <v>180.0</v>
      </c>
      <c r="G565" s="4" t="s">
        <v>15</v>
      </c>
      <c r="H565" s="3">
        <v>55.800000525664146</v>
      </c>
      <c r="I565" s="3"/>
      <c r="J565" s="5"/>
    </row>
    <row r="566" ht="14.25" customHeight="1">
      <c r="A566" s="3" t="s">
        <v>23</v>
      </c>
      <c r="B566" s="3" t="s">
        <v>36</v>
      </c>
      <c r="C566" s="3" t="s">
        <v>36</v>
      </c>
      <c r="D566" s="3" t="s">
        <v>37</v>
      </c>
      <c r="E566" s="3" t="s">
        <v>14</v>
      </c>
      <c r="F566" s="3">
        <v>180.0</v>
      </c>
      <c r="G566" s="4" t="s">
        <v>16</v>
      </c>
      <c r="H566" s="3">
        <v>57.95316037989501</v>
      </c>
      <c r="I566" s="3"/>
      <c r="J566" s="5"/>
    </row>
    <row r="567" ht="14.25" customHeight="1">
      <c r="A567" s="3" t="s">
        <v>23</v>
      </c>
      <c r="B567" s="3" t="s">
        <v>36</v>
      </c>
      <c r="C567" s="3" t="s">
        <v>36</v>
      </c>
      <c r="D567" s="3" t="s">
        <v>37</v>
      </c>
      <c r="E567" s="3" t="s">
        <v>14</v>
      </c>
      <c r="F567" s="3">
        <v>180.0</v>
      </c>
      <c r="G567" s="4" t="s">
        <v>17</v>
      </c>
      <c r="H567" s="3">
        <v>57.34798870701398</v>
      </c>
      <c r="I567" s="3"/>
      <c r="J567" s="5"/>
    </row>
    <row r="568" ht="14.25" customHeight="1">
      <c r="A568" s="3" t="s">
        <v>23</v>
      </c>
      <c r="B568" s="3" t="s">
        <v>36</v>
      </c>
      <c r="C568" s="3" t="s">
        <v>36</v>
      </c>
      <c r="D568" s="3" t="s">
        <v>37</v>
      </c>
      <c r="E568" s="3" t="s">
        <v>14</v>
      </c>
      <c r="F568" s="3">
        <v>180.0</v>
      </c>
      <c r="G568" s="4" t="s">
        <v>18</v>
      </c>
      <c r="H568" s="3">
        <v>57.971760844310516</v>
      </c>
      <c r="I568" s="3"/>
      <c r="J568" s="5"/>
    </row>
    <row r="569" ht="14.25" customHeight="1">
      <c r="A569" s="3" t="s">
        <v>23</v>
      </c>
      <c r="B569" s="3" t="s">
        <v>36</v>
      </c>
      <c r="C569" s="3" t="s">
        <v>36</v>
      </c>
      <c r="D569" s="3" t="s">
        <v>37</v>
      </c>
      <c r="E569" s="3" t="s">
        <v>14</v>
      </c>
      <c r="F569" s="3">
        <v>180.0</v>
      </c>
      <c r="G569" s="4" t="s">
        <v>19</v>
      </c>
      <c r="H569" s="3">
        <v>66.38045680125066</v>
      </c>
      <c r="I569" s="3"/>
      <c r="J569" s="5"/>
    </row>
    <row r="570" ht="14.25" customHeight="1">
      <c r="A570" s="3" t="s">
        <v>23</v>
      </c>
      <c r="B570" s="3" t="s">
        <v>36</v>
      </c>
      <c r="C570" s="3" t="s">
        <v>36</v>
      </c>
      <c r="D570" s="3" t="s">
        <v>37</v>
      </c>
      <c r="E570" s="3" t="s">
        <v>14</v>
      </c>
      <c r="F570" s="3">
        <v>180.0</v>
      </c>
      <c r="G570" s="4" t="s">
        <v>20</v>
      </c>
      <c r="H570" s="3">
        <v>63.19706380099424</v>
      </c>
      <c r="I570" s="3"/>
      <c r="J570" s="5"/>
    </row>
    <row r="571" ht="14.25" customHeight="1">
      <c r="A571" s="3" t="s">
        <v>23</v>
      </c>
      <c r="B571" s="3" t="s">
        <v>36</v>
      </c>
      <c r="C571" s="3" t="s">
        <v>36</v>
      </c>
      <c r="D571" s="3" t="s">
        <v>37</v>
      </c>
      <c r="E571" s="3" t="s">
        <v>14</v>
      </c>
      <c r="F571" s="3">
        <v>180.0</v>
      </c>
      <c r="G571" s="4" t="s">
        <v>21</v>
      </c>
      <c r="H571" s="3">
        <v>55.732183371949475</v>
      </c>
      <c r="I571" s="3"/>
      <c r="J571" s="5"/>
    </row>
    <row r="572" ht="14.25" customHeight="1">
      <c r="A572" s="3" t="s">
        <v>23</v>
      </c>
      <c r="B572" s="3" t="s">
        <v>36</v>
      </c>
      <c r="C572" s="3" t="s">
        <v>36</v>
      </c>
      <c r="D572" s="3" t="s">
        <v>37</v>
      </c>
      <c r="E572" s="3" t="s">
        <v>14</v>
      </c>
      <c r="F572" s="3">
        <v>180.0</v>
      </c>
      <c r="G572" s="4" t="s">
        <v>22</v>
      </c>
      <c r="H572" s="3">
        <v>64.54944488886896</v>
      </c>
      <c r="I572" s="3"/>
      <c r="J572" s="5"/>
    </row>
    <row r="573" ht="14.25" customHeight="1">
      <c r="A573" s="3" t="s">
        <v>24</v>
      </c>
      <c r="B573" s="3" t="s">
        <v>36</v>
      </c>
      <c r="C573" s="3" t="s">
        <v>36</v>
      </c>
      <c r="D573" s="3" t="s">
        <v>37</v>
      </c>
      <c r="E573" s="3" t="s">
        <v>14</v>
      </c>
      <c r="F573" s="3">
        <v>180.0</v>
      </c>
      <c r="G573" s="4" t="s">
        <v>15</v>
      </c>
      <c r="H573" s="3">
        <v>8.153727291077322</v>
      </c>
      <c r="I573" s="3"/>
      <c r="J573" s="5"/>
    </row>
    <row r="574" ht="14.25" customHeight="1">
      <c r="A574" s="3" t="s">
        <v>24</v>
      </c>
      <c r="B574" s="3" t="s">
        <v>36</v>
      </c>
      <c r="C574" s="3" t="s">
        <v>36</v>
      </c>
      <c r="D574" s="3" t="s">
        <v>37</v>
      </c>
      <c r="E574" s="3" t="s">
        <v>14</v>
      </c>
      <c r="F574" s="3">
        <v>180.0</v>
      </c>
      <c r="G574" s="4" t="s">
        <v>16</v>
      </c>
      <c r="H574" s="3">
        <v>9.717670388721922</v>
      </c>
      <c r="I574" s="3"/>
      <c r="J574" s="5"/>
    </row>
    <row r="575" ht="14.25" customHeight="1">
      <c r="A575" s="3" t="s">
        <v>24</v>
      </c>
      <c r="B575" s="3" t="s">
        <v>36</v>
      </c>
      <c r="C575" s="3" t="s">
        <v>36</v>
      </c>
      <c r="D575" s="3" t="s">
        <v>37</v>
      </c>
      <c r="E575" s="3" t="s">
        <v>14</v>
      </c>
      <c r="F575" s="3">
        <v>180.0</v>
      </c>
      <c r="G575" s="4" t="s">
        <v>17</v>
      </c>
      <c r="H575" s="3">
        <v>8.06736041574476</v>
      </c>
      <c r="I575" s="3"/>
      <c r="J575" s="5"/>
    </row>
    <row r="576" ht="14.25" customHeight="1">
      <c r="A576" s="3" t="s">
        <v>24</v>
      </c>
      <c r="B576" s="3" t="s">
        <v>36</v>
      </c>
      <c r="C576" s="3" t="s">
        <v>36</v>
      </c>
      <c r="D576" s="3" t="s">
        <v>37</v>
      </c>
      <c r="E576" s="3" t="s">
        <v>14</v>
      </c>
      <c r="F576" s="3">
        <v>180.0</v>
      </c>
      <c r="G576" s="4" t="s">
        <v>18</v>
      </c>
      <c r="H576" s="3">
        <v>8.332789339890315</v>
      </c>
      <c r="I576" s="3"/>
      <c r="J576" s="5"/>
    </row>
    <row r="577" ht="14.25" customHeight="1">
      <c r="A577" s="3" t="s">
        <v>24</v>
      </c>
      <c r="B577" s="3" t="s">
        <v>36</v>
      </c>
      <c r="C577" s="3" t="s">
        <v>36</v>
      </c>
      <c r="D577" s="3" t="s">
        <v>37</v>
      </c>
      <c r="E577" s="3" t="s">
        <v>14</v>
      </c>
      <c r="F577" s="3">
        <v>180.0</v>
      </c>
      <c r="G577" s="4" t="s">
        <v>19</v>
      </c>
      <c r="H577" s="3">
        <v>8.943812414178579</v>
      </c>
      <c r="I577" s="3"/>
      <c r="J577" s="5"/>
    </row>
    <row r="578" ht="14.25" customHeight="1">
      <c r="A578" s="3" t="s">
        <v>24</v>
      </c>
      <c r="B578" s="3" t="s">
        <v>36</v>
      </c>
      <c r="C578" s="3" t="s">
        <v>36</v>
      </c>
      <c r="D578" s="3" t="s">
        <v>37</v>
      </c>
      <c r="E578" s="3" t="s">
        <v>14</v>
      </c>
      <c r="F578" s="3">
        <v>180.0</v>
      </c>
      <c r="G578" s="4" t="s">
        <v>20</v>
      </c>
      <c r="H578" s="3">
        <v>9.62927577758231</v>
      </c>
      <c r="I578" s="3"/>
      <c r="J578" s="5"/>
    </row>
    <row r="579" ht="14.25" customHeight="1">
      <c r="A579" s="3" t="s">
        <v>24</v>
      </c>
      <c r="B579" s="3" t="s">
        <v>36</v>
      </c>
      <c r="C579" s="3" t="s">
        <v>36</v>
      </c>
      <c r="D579" s="3" t="s">
        <v>37</v>
      </c>
      <c r="E579" s="3" t="s">
        <v>14</v>
      </c>
      <c r="F579" s="3">
        <v>180.0</v>
      </c>
      <c r="G579" s="4" t="s">
        <v>21</v>
      </c>
      <c r="H579" s="3">
        <v>7.402286877336059</v>
      </c>
      <c r="I579" s="3"/>
      <c r="J579" s="5"/>
    </row>
    <row r="580" ht="14.25" customHeight="1">
      <c r="A580" s="3" t="s">
        <v>24</v>
      </c>
      <c r="B580" s="3" t="s">
        <v>36</v>
      </c>
      <c r="C580" s="3" t="s">
        <v>36</v>
      </c>
      <c r="D580" s="3" t="s">
        <v>37</v>
      </c>
      <c r="E580" s="3" t="s">
        <v>14</v>
      </c>
      <c r="F580" s="3">
        <v>180.0</v>
      </c>
      <c r="G580" s="4" t="s">
        <v>22</v>
      </c>
      <c r="H580" s="3">
        <v>7.708915504626307</v>
      </c>
      <c r="I580" s="3"/>
      <c r="J580" s="5"/>
    </row>
    <row r="581" ht="14.25" customHeight="1">
      <c r="A581" s="3" t="s">
        <v>25</v>
      </c>
      <c r="B581" s="3" t="s">
        <v>36</v>
      </c>
      <c r="C581" s="3" t="s">
        <v>36</v>
      </c>
      <c r="D581" s="3" t="s">
        <v>37</v>
      </c>
      <c r="E581" s="3" t="s">
        <v>14</v>
      </c>
      <c r="F581" s="3">
        <v>180.0</v>
      </c>
      <c r="G581" s="4" t="s">
        <v>15</v>
      </c>
      <c r="H581" s="3">
        <v>12.941352530390821</v>
      </c>
      <c r="I581" s="3"/>
      <c r="J581" s="5"/>
    </row>
    <row r="582" ht="14.25" customHeight="1">
      <c r="A582" s="3" t="s">
        <v>25</v>
      </c>
      <c r="B582" s="3" t="s">
        <v>36</v>
      </c>
      <c r="C582" s="3" t="s">
        <v>36</v>
      </c>
      <c r="D582" s="3" t="s">
        <v>37</v>
      </c>
      <c r="E582" s="3" t="s">
        <v>14</v>
      </c>
      <c r="F582" s="3">
        <v>180.0</v>
      </c>
      <c r="G582" s="4" t="s">
        <v>16</v>
      </c>
      <c r="H582" s="3">
        <v>12.07566730590598</v>
      </c>
      <c r="I582" s="3"/>
      <c r="J582" s="5"/>
    </row>
    <row r="583" ht="14.25" customHeight="1">
      <c r="A583" s="3" t="s">
        <v>25</v>
      </c>
      <c r="B583" s="3" t="s">
        <v>36</v>
      </c>
      <c r="C583" s="3" t="s">
        <v>36</v>
      </c>
      <c r="D583" s="3" t="s">
        <v>37</v>
      </c>
      <c r="E583" s="3" t="s">
        <v>14</v>
      </c>
      <c r="F583" s="3">
        <v>180.0</v>
      </c>
      <c r="G583" s="4" t="s">
        <v>17</v>
      </c>
      <c r="H583" s="3">
        <v>12.727226327795497</v>
      </c>
      <c r="I583" s="3"/>
      <c r="J583" s="5"/>
    </row>
    <row r="584" ht="14.25" customHeight="1">
      <c r="A584" s="3" t="s">
        <v>25</v>
      </c>
      <c r="B584" s="3" t="s">
        <v>36</v>
      </c>
      <c r="C584" s="3" t="s">
        <v>36</v>
      </c>
      <c r="D584" s="3" t="s">
        <v>37</v>
      </c>
      <c r="E584" s="3" t="s">
        <v>14</v>
      </c>
      <c r="F584" s="3">
        <v>180.0</v>
      </c>
      <c r="G584" s="4" t="s">
        <v>18</v>
      </c>
      <c r="H584" s="3">
        <v>13.47073856744929</v>
      </c>
      <c r="I584" s="3"/>
      <c r="J584" s="5"/>
    </row>
    <row r="585" ht="14.25" customHeight="1">
      <c r="A585" s="3" t="s">
        <v>25</v>
      </c>
      <c r="B585" s="3" t="s">
        <v>36</v>
      </c>
      <c r="C585" s="3" t="s">
        <v>36</v>
      </c>
      <c r="D585" s="3" t="s">
        <v>37</v>
      </c>
      <c r="E585" s="3" t="s">
        <v>14</v>
      </c>
      <c r="F585" s="3">
        <v>180.0</v>
      </c>
      <c r="G585" s="4" t="s">
        <v>19</v>
      </c>
      <c r="H585" s="3">
        <v>16.31266833745946</v>
      </c>
      <c r="I585" s="3"/>
      <c r="J585" s="5"/>
    </row>
    <row r="586" ht="14.25" customHeight="1">
      <c r="A586" s="3" t="s">
        <v>25</v>
      </c>
      <c r="B586" s="3" t="s">
        <v>36</v>
      </c>
      <c r="C586" s="3" t="s">
        <v>36</v>
      </c>
      <c r="D586" s="3" t="s">
        <v>37</v>
      </c>
      <c r="E586" s="3" t="s">
        <v>14</v>
      </c>
      <c r="F586" s="3">
        <v>180.0</v>
      </c>
      <c r="G586" s="4" t="s">
        <v>20</v>
      </c>
      <c r="H586" s="3">
        <v>13.64188200582466</v>
      </c>
      <c r="I586" s="3"/>
      <c r="J586" s="5"/>
    </row>
    <row r="587" ht="14.25" customHeight="1">
      <c r="A587" s="3" t="s">
        <v>25</v>
      </c>
      <c r="B587" s="3" t="s">
        <v>36</v>
      </c>
      <c r="C587" s="3" t="s">
        <v>36</v>
      </c>
      <c r="D587" s="3" t="s">
        <v>37</v>
      </c>
      <c r="E587" s="3" t="s">
        <v>14</v>
      </c>
      <c r="F587" s="3">
        <v>180.0</v>
      </c>
      <c r="G587" s="4" t="s">
        <v>21</v>
      </c>
      <c r="H587" s="3">
        <v>11.21836102235037</v>
      </c>
      <c r="I587" s="3"/>
      <c r="J587" s="5"/>
    </row>
    <row r="588" ht="14.25" customHeight="1">
      <c r="A588" s="3" t="s">
        <v>25</v>
      </c>
      <c r="B588" s="3" t="s">
        <v>36</v>
      </c>
      <c r="C588" s="3" t="s">
        <v>36</v>
      </c>
      <c r="D588" s="3" t="s">
        <v>37</v>
      </c>
      <c r="E588" s="3" t="s">
        <v>14</v>
      </c>
      <c r="F588" s="3">
        <v>180.0</v>
      </c>
      <c r="G588" s="4" t="s">
        <v>22</v>
      </c>
      <c r="H588" s="3">
        <v>13.01672019437632</v>
      </c>
      <c r="I588" s="3"/>
      <c r="J588" s="5"/>
    </row>
    <row r="589" ht="14.25" customHeight="1">
      <c r="A589" s="3" t="s">
        <v>26</v>
      </c>
      <c r="B589" s="3" t="s">
        <v>36</v>
      </c>
      <c r="C589" s="3" t="s">
        <v>36</v>
      </c>
      <c r="D589" s="3" t="s">
        <v>37</v>
      </c>
      <c r="E589" s="3" t="s">
        <v>14</v>
      </c>
      <c r="F589" s="3">
        <v>180.0</v>
      </c>
      <c r="G589" s="4" t="s">
        <v>15</v>
      </c>
      <c r="H589" s="3">
        <v>38.651053149121246</v>
      </c>
      <c r="I589" s="3"/>
      <c r="J589" s="5"/>
    </row>
    <row r="590" ht="14.25" customHeight="1">
      <c r="A590" s="3" t="s">
        <v>26</v>
      </c>
      <c r="B590" s="3" t="s">
        <v>36</v>
      </c>
      <c r="C590" s="3" t="s">
        <v>36</v>
      </c>
      <c r="D590" s="3" t="s">
        <v>37</v>
      </c>
      <c r="E590" s="3" t="s">
        <v>14</v>
      </c>
      <c r="F590" s="3">
        <v>180.0</v>
      </c>
      <c r="G590" s="4" t="s">
        <v>16</v>
      </c>
      <c r="H590" s="3">
        <v>40.427563254598276</v>
      </c>
      <c r="I590" s="3"/>
      <c r="J590" s="5"/>
    </row>
    <row r="591" ht="14.25" customHeight="1">
      <c r="A591" s="3" t="s">
        <v>26</v>
      </c>
      <c r="B591" s="3" t="s">
        <v>36</v>
      </c>
      <c r="C591" s="3" t="s">
        <v>36</v>
      </c>
      <c r="D591" s="3" t="s">
        <v>37</v>
      </c>
      <c r="E591" s="3" t="s">
        <v>14</v>
      </c>
      <c r="F591" s="3">
        <v>180.0</v>
      </c>
      <c r="G591" s="4" t="s">
        <v>17</v>
      </c>
      <c r="H591" s="3">
        <v>41.0153314677491</v>
      </c>
      <c r="I591" s="3"/>
      <c r="J591" s="5"/>
    </row>
    <row r="592" ht="14.25" customHeight="1">
      <c r="A592" s="3" t="s">
        <v>26</v>
      </c>
      <c r="B592" s="3" t="s">
        <v>36</v>
      </c>
      <c r="C592" s="3" t="s">
        <v>36</v>
      </c>
      <c r="D592" s="3" t="s">
        <v>37</v>
      </c>
      <c r="E592" s="3" t="s">
        <v>14</v>
      </c>
      <c r="F592" s="3">
        <v>180.0</v>
      </c>
      <c r="G592" s="4" t="s">
        <v>18</v>
      </c>
      <c r="H592" s="3">
        <v>39.548359547521216</v>
      </c>
      <c r="I592" s="3"/>
      <c r="J592" s="5"/>
    </row>
    <row r="593" ht="14.25" customHeight="1">
      <c r="A593" s="3" t="s">
        <v>26</v>
      </c>
      <c r="B593" s="3" t="s">
        <v>36</v>
      </c>
      <c r="C593" s="3" t="s">
        <v>36</v>
      </c>
      <c r="D593" s="3" t="s">
        <v>37</v>
      </c>
      <c r="E593" s="3" t="s">
        <v>14</v>
      </c>
      <c r="F593" s="3">
        <v>180.0</v>
      </c>
      <c r="G593" s="4" t="s">
        <v>19</v>
      </c>
      <c r="H593" s="3">
        <v>45.7576866337599</v>
      </c>
      <c r="I593" s="3"/>
      <c r="J593" s="5"/>
    </row>
    <row r="594" ht="14.25" customHeight="1">
      <c r="A594" s="3" t="s">
        <v>26</v>
      </c>
      <c r="B594" s="3" t="s">
        <v>36</v>
      </c>
      <c r="C594" s="3" t="s">
        <v>36</v>
      </c>
      <c r="D594" s="3" t="s">
        <v>37</v>
      </c>
      <c r="E594" s="3" t="s">
        <v>14</v>
      </c>
      <c r="F594" s="3">
        <v>180.0</v>
      </c>
      <c r="G594" s="4" t="s">
        <v>20</v>
      </c>
      <c r="H594" s="3">
        <v>44.239152389892695</v>
      </c>
      <c r="I594" s="3"/>
      <c r="J594" s="5"/>
    </row>
    <row r="595" ht="14.25" customHeight="1">
      <c r="A595" s="3" t="s">
        <v>26</v>
      </c>
      <c r="B595" s="3" t="s">
        <v>36</v>
      </c>
      <c r="C595" s="3" t="s">
        <v>36</v>
      </c>
      <c r="D595" s="3" t="s">
        <v>37</v>
      </c>
      <c r="E595" s="3" t="s">
        <v>14</v>
      </c>
      <c r="F595" s="3">
        <v>180.0</v>
      </c>
      <c r="G595" s="4" t="s">
        <v>21</v>
      </c>
      <c r="H595" s="3">
        <v>40.55256320603847</v>
      </c>
      <c r="I595" s="3"/>
      <c r="J595" s="5"/>
    </row>
    <row r="596" ht="14.25" customHeight="1">
      <c r="A596" s="3" t="s">
        <v>26</v>
      </c>
      <c r="B596" s="3" t="s">
        <v>36</v>
      </c>
      <c r="C596" s="3" t="s">
        <v>36</v>
      </c>
      <c r="D596" s="3" t="s">
        <v>37</v>
      </c>
      <c r="E596" s="3" t="s">
        <v>14</v>
      </c>
      <c r="F596" s="3">
        <v>180.0</v>
      </c>
      <c r="G596" s="4" t="s">
        <v>22</v>
      </c>
      <c r="H596" s="3">
        <v>48.5104689448831</v>
      </c>
      <c r="I596" s="3"/>
      <c r="J596" s="5"/>
    </row>
    <row r="597" ht="14.25" customHeight="1">
      <c r="A597" s="3" t="s">
        <v>10</v>
      </c>
      <c r="B597" s="3" t="s">
        <v>36</v>
      </c>
      <c r="C597" s="3" t="s">
        <v>36</v>
      </c>
      <c r="D597" s="3" t="s">
        <v>13</v>
      </c>
      <c r="E597" s="3" t="s">
        <v>14</v>
      </c>
      <c r="F597" s="3">
        <v>180.0</v>
      </c>
      <c r="G597" s="4" t="s">
        <v>15</v>
      </c>
      <c r="H597" s="3">
        <v>64.14680900189643</v>
      </c>
      <c r="I597" s="3"/>
      <c r="J597" s="5"/>
    </row>
    <row r="598" ht="14.25" customHeight="1">
      <c r="A598" s="3" t="s">
        <v>10</v>
      </c>
      <c r="B598" s="3" t="s">
        <v>36</v>
      </c>
      <c r="C598" s="3" t="s">
        <v>36</v>
      </c>
      <c r="D598" s="3" t="s">
        <v>13</v>
      </c>
      <c r="E598" s="3" t="s">
        <v>14</v>
      </c>
      <c r="F598" s="3">
        <v>180.0</v>
      </c>
      <c r="G598" s="4" t="s">
        <v>16</v>
      </c>
      <c r="H598" s="3">
        <v>59.97478795451559</v>
      </c>
      <c r="I598" s="3"/>
      <c r="J598" s="5"/>
    </row>
    <row r="599" ht="14.25" customHeight="1">
      <c r="A599" s="3" t="s">
        <v>10</v>
      </c>
      <c r="B599" s="3" t="s">
        <v>36</v>
      </c>
      <c r="C599" s="3" t="s">
        <v>36</v>
      </c>
      <c r="D599" s="3" t="s">
        <v>13</v>
      </c>
      <c r="E599" s="3" t="s">
        <v>14</v>
      </c>
      <c r="F599" s="3">
        <v>180.0</v>
      </c>
      <c r="G599" s="4" t="s">
        <v>17</v>
      </c>
      <c r="H599" s="3">
        <v>57.96218740117476</v>
      </c>
      <c r="I599" s="3"/>
      <c r="J599" s="5"/>
    </row>
    <row r="600" ht="14.25" customHeight="1">
      <c r="A600" s="3" t="s">
        <v>10</v>
      </c>
      <c r="B600" s="3" t="s">
        <v>36</v>
      </c>
      <c r="C600" s="3" t="s">
        <v>36</v>
      </c>
      <c r="D600" s="3" t="s">
        <v>13</v>
      </c>
      <c r="E600" s="3" t="s">
        <v>14</v>
      </c>
      <c r="F600" s="3">
        <v>180.0</v>
      </c>
      <c r="G600" s="4" t="s">
        <v>18</v>
      </c>
      <c r="H600" s="3">
        <v>55.69004613472333</v>
      </c>
      <c r="I600" s="3"/>
      <c r="J600" s="5"/>
    </row>
    <row r="601" ht="14.25" customHeight="1">
      <c r="A601" s="3" t="s">
        <v>10</v>
      </c>
      <c r="B601" s="3" t="s">
        <v>36</v>
      </c>
      <c r="C601" s="3" t="s">
        <v>36</v>
      </c>
      <c r="D601" s="3" t="s">
        <v>13</v>
      </c>
      <c r="E601" s="3" t="s">
        <v>14</v>
      </c>
      <c r="F601" s="3">
        <v>180.0</v>
      </c>
      <c r="G601" s="4" t="s">
        <v>19</v>
      </c>
      <c r="H601" s="3">
        <v>67.21439164794896</v>
      </c>
      <c r="I601" s="3"/>
      <c r="J601" s="5"/>
    </row>
    <row r="602" ht="14.25" customHeight="1">
      <c r="A602" s="3" t="s">
        <v>10</v>
      </c>
      <c r="B602" s="3" t="s">
        <v>36</v>
      </c>
      <c r="C602" s="3" t="s">
        <v>36</v>
      </c>
      <c r="D602" s="3" t="s">
        <v>13</v>
      </c>
      <c r="E602" s="3" t="s">
        <v>14</v>
      </c>
      <c r="F602" s="3">
        <v>180.0</v>
      </c>
      <c r="G602" s="4" t="s">
        <v>20</v>
      </c>
      <c r="H602" s="3">
        <v>72.06068380111265</v>
      </c>
      <c r="I602" s="3"/>
      <c r="J602" s="5"/>
    </row>
    <row r="603" ht="14.25" customHeight="1">
      <c r="A603" s="3" t="s">
        <v>10</v>
      </c>
      <c r="B603" s="3" t="s">
        <v>36</v>
      </c>
      <c r="C603" s="3" t="s">
        <v>36</v>
      </c>
      <c r="D603" s="3" t="s">
        <v>13</v>
      </c>
      <c r="E603" s="3" t="s">
        <v>14</v>
      </c>
      <c r="F603" s="3">
        <v>180.0</v>
      </c>
      <c r="G603" s="4" t="s">
        <v>21</v>
      </c>
      <c r="H603" s="3">
        <v>66.44719798910279</v>
      </c>
      <c r="I603" s="3"/>
      <c r="J603" s="5"/>
    </row>
    <row r="604" ht="14.25" customHeight="1">
      <c r="A604" s="3" t="s">
        <v>10</v>
      </c>
      <c r="B604" s="3" t="s">
        <v>36</v>
      </c>
      <c r="C604" s="3" t="s">
        <v>36</v>
      </c>
      <c r="D604" s="3" t="s">
        <v>13</v>
      </c>
      <c r="E604" s="3" t="s">
        <v>14</v>
      </c>
      <c r="F604" s="3">
        <v>180.0</v>
      </c>
      <c r="G604" s="4" t="s">
        <v>22</v>
      </c>
      <c r="H604" s="3">
        <v>63.198260629836625</v>
      </c>
      <c r="I604" s="3"/>
      <c r="J604" s="5"/>
    </row>
    <row r="605" ht="14.25" customHeight="1">
      <c r="A605" s="3" t="s">
        <v>23</v>
      </c>
      <c r="B605" s="3" t="s">
        <v>36</v>
      </c>
      <c r="C605" s="3" t="s">
        <v>36</v>
      </c>
      <c r="D605" s="3" t="s">
        <v>13</v>
      </c>
      <c r="E605" s="3" t="s">
        <v>14</v>
      </c>
      <c r="F605" s="3">
        <v>180.0</v>
      </c>
      <c r="G605" s="4" t="s">
        <v>15</v>
      </c>
      <c r="H605" s="3">
        <v>225.68216505473487</v>
      </c>
      <c r="I605" s="3"/>
      <c r="J605" s="5"/>
    </row>
    <row r="606" ht="14.25" customHeight="1">
      <c r="A606" s="3" t="s">
        <v>23</v>
      </c>
      <c r="B606" s="3" t="s">
        <v>36</v>
      </c>
      <c r="C606" s="3" t="s">
        <v>36</v>
      </c>
      <c r="D606" s="3" t="s">
        <v>13</v>
      </c>
      <c r="E606" s="3" t="s">
        <v>14</v>
      </c>
      <c r="F606" s="3">
        <v>180.0</v>
      </c>
      <c r="G606" s="4" t="s">
        <v>16</v>
      </c>
      <c r="H606" s="3">
        <v>207.2845942980146</v>
      </c>
      <c r="I606" s="3"/>
      <c r="J606" s="5"/>
    </row>
    <row r="607" ht="14.25" customHeight="1">
      <c r="A607" s="3" t="s">
        <v>23</v>
      </c>
      <c r="B607" s="3" t="s">
        <v>36</v>
      </c>
      <c r="C607" s="3" t="s">
        <v>36</v>
      </c>
      <c r="D607" s="3" t="s">
        <v>13</v>
      </c>
      <c r="E607" s="3" t="s">
        <v>14</v>
      </c>
      <c r="F607" s="3">
        <v>180.0</v>
      </c>
      <c r="G607" s="4" t="s">
        <v>17</v>
      </c>
      <c r="H607" s="3">
        <v>188.12469628245688</v>
      </c>
      <c r="I607" s="3"/>
      <c r="J607" s="5"/>
    </row>
    <row r="608" ht="14.25" customHeight="1">
      <c r="A608" s="3" t="s">
        <v>23</v>
      </c>
      <c r="B608" s="3" t="s">
        <v>36</v>
      </c>
      <c r="C608" s="3" t="s">
        <v>36</v>
      </c>
      <c r="D608" s="3" t="s">
        <v>13</v>
      </c>
      <c r="E608" s="3" t="s">
        <v>14</v>
      </c>
      <c r="F608" s="3">
        <v>180.0</v>
      </c>
      <c r="G608" s="4" t="s">
        <v>18</v>
      </c>
      <c r="H608" s="3">
        <v>161.8893488789505</v>
      </c>
      <c r="I608" s="3"/>
      <c r="J608" s="5"/>
    </row>
    <row r="609" ht="14.25" customHeight="1">
      <c r="A609" s="3" t="s">
        <v>23</v>
      </c>
      <c r="B609" s="3" t="s">
        <v>36</v>
      </c>
      <c r="C609" s="3" t="s">
        <v>36</v>
      </c>
      <c r="D609" s="3" t="s">
        <v>13</v>
      </c>
      <c r="E609" s="3" t="s">
        <v>14</v>
      </c>
      <c r="F609" s="3">
        <v>180.0</v>
      </c>
      <c r="G609" s="4" t="s">
        <v>19</v>
      </c>
      <c r="H609" s="3">
        <v>195.35020687585933</v>
      </c>
      <c r="I609" s="3"/>
      <c r="J609" s="5"/>
    </row>
    <row r="610" ht="14.25" customHeight="1">
      <c r="A610" s="3" t="s">
        <v>23</v>
      </c>
      <c r="B610" s="3" t="s">
        <v>36</v>
      </c>
      <c r="C610" s="3" t="s">
        <v>36</v>
      </c>
      <c r="D610" s="3" t="s">
        <v>13</v>
      </c>
      <c r="E610" s="3" t="s">
        <v>14</v>
      </c>
      <c r="F610" s="3">
        <v>180.0</v>
      </c>
      <c r="G610" s="4" t="s">
        <v>20</v>
      </c>
      <c r="H610" s="3">
        <v>191.74726351474374</v>
      </c>
      <c r="I610" s="3"/>
      <c r="J610" s="5"/>
    </row>
    <row r="611" ht="14.25" customHeight="1">
      <c r="A611" s="3" t="s">
        <v>23</v>
      </c>
      <c r="B611" s="3" t="s">
        <v>36</v>
      </c>
      <c r="C611" s="3" t="s">
        <v>36</v>
      </c>
      <c r="D611" s="3" t="s">
        <v>13</v>
      </c>
      <c r="E611" s="3" t="s">
        <v>14</v>
      </c>
      <c r="F611" s="3">
        <v>180.0</v>
      </c>
      <c r="G611" s="4" t="s">
        <v>21</v>
      </c>
      <c r="H611" s="3">
        <v>158.8799888489557</v>
      </c>
      <c r="I611" s="3"/>
      <c r="J611" s="5"/>
    </row>
    <row r="612" ht="14.25" customHeight="1">
      <c r="A612" s="3" t="s">
        <v>23</v>
      </c>
      <c r="B612" s="3" t="s">
        <v>36</v>
      </c>
      <c r="C612" s="3" t="s">
        <v>36</v>
      </c>
      <c r="D612" s="3" t="s">
        <v>13</v>
      </c>
      <c r="E612" s="3" t="s">
        <v>14</v>
      </c>
      <c r="F612" s="3">
        <v>180.0</v>
      </c>
      <c r="G612" s="4" t="s">
        <v>22</v>
      </c>
      <c r="H612" s="3">
        <v>155.72730019798564</v>
      </c>
      <c r="I612" s="3"/>
      <c r="J612" s="5"/>
    </row>
    <row r="613" ht="14.25" customHeight="1">
      <c r="A613" s="3" t="s">
        <v>24</v>
      </c>
      <c r="B613" s="3" t="s">
        <v>36</v>
      </c>
      <c r="C613" s="3" t="s">
        <v>36</v>
      </c>
      <c r="D613" s="3" t="s">
        <v>13</v>
      </c>
      <c r="E613" s="3" t="s">
        <v>14</v>
      </c>
      <c r="F613" s="3">
        <v>180.0</v>
      </c>
      <c r="G613" s="4" t="s">
        <v>15</v>
      </c>
      <c r="H613" s="3">
        <v>75.43054308344324</v>
      </c>
      <c r="I613" s="3"/>
      <c r="J613" s="5"/>
    </row>
    <row r="614" ht="14.25" customHeight="1">
      <c r="A614" s="3" t="s">
        <v>24</v>
      </c>
      <c r="B614" s="3" t="s">
        <v>36</v>
      </c>
      <c r="C614" s="3" t="s">
        <v>36</v>
      </c>
      <c r="D614" s="3" t="s">
        <v>13</v>
      </c>
      <c r="E614" s="3" t="s">
        <v>14</v>
      </c>
      <c r="F614" s="3">
        <v>180.0</v>
      </c>
      <c r="G614" s="4" t="s">
        <v>16</v>
      </c>
      <c r="H614" s="3">
        <v>67.10375028363649</v>
      </c>
      <c r="I614" s="3"/>
      <c r="J614" s="5"/>
    </row>
    <row r="615" ht="14.25" customHeight="1">
      <c r="A615" s="3" t="s">
        <v>24</v>
      </c>
      <c r="B615" s="3" t="s">
        <v>36</v>
      </c>
      <c r="C615" s="3" t="s">
        <v>36</v>
      </c>
      <c r="D615" s="3" t="s">
        <v>13</v>
      </c>
      <c r="E615" s="3" t="s">
        <v>14</v>
      </c>
      <c r="F615" s="3">
        <v>180.0</v>
      </c>
      <c r="G615" s="4" t="s">
        <v>17</v>
      </c>
      <c r="H615" s="3">
        <v>56.2836674028287</v>
      </c>
      <c r="I615" s="3"/>
      <c r="J615" s="5"/>
    </row>
    <row r="616" ht="14.25" customHeight="1">
      <c r="A616" s="3" t="s">
        <v>24</v>
      </c>
      <c r="B616" s="3" t="s">
        <v>36</v>
      </c>
      <c r="C616" s="3" t="s">
        <v>36</v>
      </c>
      <c r="D616" s="3" t="s">
        <v>13</v>
      </c>
      <c r="E616" s="3" t="s">
        <v>14</v>
      </c>
      <c r="F616" s="3">
        <v>180.0</v>
      </c>
      <c r="G616" s="4" t="s">
        <v>18</v>
      </c>
      <c r="H616" s="3">
        <v>46.425193214835865</v>
      </c>
      <c r="I616" s="3"/>
      <c r="J616" s="5"/>
    </row>
    <row r="617" ht="14.25" customHeight="1">
      <c r="A617" s="3" t="s">
        <v>24</v>
      </c>
      <c r="B617" s="3" t="s">
        <v>36</v>
      </c>
      <c r="C617" s="3" t="s">
        <v>36</v>
      </c>
      <c r="D617" s="3" t="s">
        <v>13</v>
      </c>
      <c r="E617" s="3" t="s">
        <v>14</v>
      </c>
      <c r="F617" s="3">
        <v>180.0</v>
      </c>
      <c r="G617" s="4" t="s">
        <v>19</v>
      </c>
      <c r="H617" s="3">
        <v>57.186574934686526</v>
      </c>
      <c r="I617" s="3"/>
      <c r="J617" s="5"/>
    </row>
    <row r="618" ht="14.25" customHeight="1">
      <c r="A618" s="3" t="s">
        <v>24</v>
      </c>
      <c r="B618" s="3" t="s">
        <v>36</v>
      </c>
      <c r="C618" s="3" t="s">
        <v>36</v>
      </c>
      <c r="D618" s="3" t="s">
        <v>13</v>
      </c>
      <c r="E618" s="3" t="s">
        <v>14</v>
      </c>
      <c r="F618" s="3">
        <v>180.0</v>
      </c>
      <c r="G618" s="4" t="s">
        <v>20</v>
      </c>
      <c r="H618" s="3">
        <v>54.593254659309665</v>
      </c>
      <c r="I618" s="3"/>
      <c r="J618" s="5"/>
    </row>
    <row r="619" ht="14.25" customHeight="1">
      <c r="A619" s="3" t="s">
        <v>24</v>
      </c>
      <c r="B619" s="3" t="s">
        <v>36</v>
      </c>
      <c r="C619" s="3" t="s">
        <v>36</v>
      </c>
      <c r="D619" s="3" t="s">
        <v>13</v>
      </c>
      <c r="E619" s="3" t="s">
        <v>14</v>
      </c>
      <c r="F619" s="3">
        <v>180.0</v>
      </c>
      <c r="G619" s="4" t="s">
        <v>21</v>
      </c>
      <c r="H619" s="3">
        <v>47.66692136288697</v>
      </c>
      <c r="I619" s="3"/>
      <c r="J619" s="5"/>
    </row>
    <row r="620" ht="14.25" customHeight="1">
      <c r="A620" s="3" t="s">
        <v>24</v>
      </c>
      <c r="B620" s="3" t="s">
        <v>36</v>
      </c>
      <c r="C620" s="3" t="s">
        <v>36</v>
      </c>
      <c r="D620" s="3" t="s">
        <v>13</v>
      </c>
      <c r="E620" s="3" t="s">
        <v>14</v>
      </c>
      <c r="F620" s="3">
        <v>180.0</v>
      </c>
      <c r="G620" s="4" t="s">
        <v>22</v>
      </c>
      <c r="H620" s="3">
        <v>43.142282545040885</v>
      </c>
      <c r="I620" s="3"/>
      <c r="J620" s="5"/>
    </row>
    <row r="621" ht="14.25" customHeight="1">
      <c r="A621" s="3" t="s">
        <v>25</v>
      </c>
      <c r="B621" s="3" t="s">
        <v>36</v>
      </c>
      <c r="C621" s="3" t="s">
        <v>36</v>
      </c>
      <c r="D621" s="3" t="s">
        <v>13</v>
      </c>
      <c r="E621" s="3" t="s">
        <v>14</v>
      </c>
      <c r="F621" s="3">
        <v>180.0</v>
      </c>
      <c r="G621" s="4" t="s">
        <v>15</v>
      </c>
      <c r="H621" s="3">
        <v>66.62367758330153</v>
      </c>
      <c r="I621" s="3"/>
      <c r="J621" s="5"/>
    </row>
    <row r="622" ht="14.25" customHeight="1">
      <c r="A622" s="3" t="s">
        <v>25</v>
      </c>
      <c r="B622" s="3" t="s">
        <v>36</v>
      </c>
      <c r="C622" s="3" t="s">
        <v>36</v>
      </c>
      <c r="D622" s="3" t="s">
        <v>13</v>
      </c>
      <c r="E622" s="3" t="s">
        <v>14</v>
      </c>
      <c r="F622" s="3">
        <v>180.0</v>
      </c>
      <c r="G622" s="4" t="s">
        <v>16</v>
      </c>
      <c r="H622" s="3">
        <v>59.03135074314015</v>
      </c>
      <c r="I622" s="3"/>
      <c r="J622" s="5"/>
    </row>
    <row r="623" ht="14.25" customHeight="1">
      <c r="A623" s="3" t="s">
        <v>25</v>
      </c>
      <c r="B623" s="3" t="s">
        <v>36</v>
      </c>
      <c r="C623" s="3" t="s">
        <v>36</v>
      </c>
      <c r="D623" s="3" t="s">
        <v>13</v>
      </c>
      <c r="E623" s="3" t="s">
        <v>14</v>
      </c>
      <c r="F623" s="3">
        <v>180.0</v>
      </c>
      <c r="G623" s="4" t="s">
        <v>17</v>
      </c>
      <c r="H623" s="3">
        <v>52.769315255600105</v>
      </c>
      <c r="I623" s="3"/>
      <c r="J623" s="5"/>
    </row>
    <row r="624" ht="14.25" customHeight="1">
      <c r="A624" s="3" t="s">
        <v>25</v>
      </c>
      <c r="B624" s="3" t="s">
        <v>36</v>
      </c>
      <c r="C624" s="3" t="s">
        <v>36</v>
      </c>
      <c r="D624" s="3" t="s">
        <v>13</v>
      </c>
      <c r="E624" s="3" t="s">
        <v>14</v>
      </c>
      <c r="F624" s="3">
        <v>180.0</v>
      </c>
      <c r="G624" s="4" t="s">
        <v>18</v>
      </c>
      <c r="H624" s="3">
        <v>47.00500781973587</v>
      </c>
      <c r="I624" s="3"/>
      <c r="J624" s="5"/>
    </row>
    <row r="625" ht="14.25" customHeight="1">
      <c r="A625" s="3" t="s">
        <v>25</v>
      </c>
      <c r="B625" s="3" t="s">
        <v>36</v>
      </c>
      <c r="C625" s="3" t="s">
        <v>36</v>
      </c>
      <c r="D625" s="3" t="s">
        <v>13</v>
      </c>
      <c r="E625" s="3" t="s">
        <v>14</v>
      </c>
      <c r="F625" s="3">
        <v>180.0</v>
      </c>
      <c r="G625" s="4" t="s">
        <v>19</v>
      </c>
      <c r="H625" s="3">
        <v>62.301816379097154</v>
      </c>
      <c r="I625" s="3"/>
      <c r="J625" s="5"/>
    </row>
    <row r="626" ht="14.25" customHeight="1">
      <c r="A626" s="3" t="s">
        <v>25</v>
      </c>
      <c r="B626" s="3" t="s">
        <v>36</v>
      </c>
      <c r="C626" s="3" t="s">
        <v>36</v>
      </c>
      <c r="D626" s="3" t="s">
        <v>13</v>
      </c>
      <c r="E626" s="3" t="s">
        <v>14</v>
      </c>
      <c r="F626" s="3">
        <v>180.0</v>
      </c>
      <c r="G626" s="4" t="s">
        <v>20</v>
      </c>
      <c r="H626" s="3">
        <v>58.932421013887954</v>
      </c>
      <c r="I626" s="3"/>
      <c r="J626" s="5"/>
    </row>
    <row r="627" ht="14.25" customHeight="1">
      <c r="A627" s="3" t="s">
        <v>25</v>
      </c>
      <c r="B627" s="3" t="s">
        <v>36</v>
      </c>
      <c r="C627" s="3" t="s">
        <v>36</v>
      </c>
      <c r="D627" s="3" t="s">
        <v>13</v>
      </c>
      <c r="E627" s="3" t="s">
        <v>14</v>
      </c>
      <c r="F627" s="3">
        <v>180.0</v>
      </c>
      <c r="G627" s="4" t="s">
        <v>21</v>
      </c>
      <c r="H627" s="3">
        <v>44.511467599654395</v>
      </c>
      <c r="I627" s="3"/>
      <c r="J627" s="5"/>
    </row>
    <row r="628" ht="14.25" customHeight="1">
      <c r="A628" s="3" t="s">
        <v>25</v>
      </c>
      <c r="B628" s="3" t="s">
        <v>36</v>
      </c>
      <c r="C628" s="3" t="s">
        <v>36</v>
      </c>
      <c r="D628" s="3" t="s">
        <v>13</v>
      </c>
      <c r="E628" s="3" t="s">
        <v>14</v>
      </c>
      <c r="F628" s="3">
        <v>180.0</v>
      </c>
      <c r="G628" s="4" t="s">
        <v>22</v>
      </c>
      <c r="H628" s="3">
        <v>45.6850613198312</v>
      </c>
      <c r="I628" s="3"/>
      <c r="J628" s="5"/>
    </row>
    <row r="629" ht="14.25" customHeight="1">
      <c r="A629" s="3" t="s">
        <v>26</v>
      </c>
      <c r="B629" s="3" t="s">
        <v>36</v>
      </c>
      <c r="C629" s="3" t="s">
        <v>36</v>
      </c>
      <c r="D629" s="3" t="s">
        <v>13</v>
      </c>
      <c r="E629" s="3" t="s">
        <v>14</v>
      </c>
      <c r="F629" s="3">
        <v>180.0</v>
      </c>
      <c r="G629" s="4" t="s">
        <v>15</v>
      </c>
      <c r="H629" s="3">
        <v>84.77612557687132</v>
      </c>
      <c r="I629" s="3"/>
      <c r="J629" s="5"/>
    </row>
    <row r="630" ht="14.25" customHeight="1">
      <c r="A630" s="3" t="s">
        <v>26</v>
      </c>
      <c r="B630" s="3" t="s">
        <v>36</v>
      </c>
      <c r="C630" s="3" t="s">
        <v>36</v>
      </c>
      <c r="D630" s="3" t="s">
        <v>13</v>
      </c>
      <c r="E630" s="3" t="s">
        <v>14</v>
      </c>
      <c r="F630" s="3">
        <v>180.0</v>
      </c>
      <c r="G630" s="4" t="s">
        <v>16</v>
      </c>
      <c r="H630" s="3">
        <v>82.10272608882235</v>
      </c>
      <c r="I630" s="3"/>
      <c r="J630" s="5"/>
    </row>
    <row r="631" ht="14.25" customHeight="1">
      <c r="A631" s="3" t="s">
        <v>26</v>
      </c>
      <c r="B631" s="3" t="s">
        <v>36</v>
      </c>
      <c r="C631" s="3" t="s">
        <v>36</v>
      </c>
      <c r="D631" s="3" t="s">
        <v>13</v>
      </c>
      <c r="E631" s="3" t="s">
        <v>14</v>
      </c>
      <c r="F631" s="3">
        <v>180.0</v>
      </c>
      <c r="G631" s="4" t="s">
        <v>17</v>
      </c>
      <c r="H631" s="3">
        <v>80.40312339091494</v>
      </c>
      <c r="I631" s="3"/>
      <c r="J631" s="5"/>
    </row>
    <row r="632" ht="14.25" customHeight="1">
      <c r="A632" s="3" t="s">
        <v>26</v>
      </c>
      <c r="B632" s="3" t="s">
        <v>36</v>
      </c>
      <c r="C632" s="3" t="s">
        <v>36</v>
      </c>
      <c r="D632" s="3" t="s">
        <v>13</v>
      </c>
      <c r="E632" s="3" t="s">
        <v>14</v>
      </c>
      <c r="F632" s="3">
        <v>180.0</v>
      </c>
      <c r="G632" s="4" t="s">
        <v>18</v>
      </c>
      <c r="H632" s="3">
        <v>69.42157258095881</v>
      </c>
      <c r="I632" s="3"/>
      <c r="J632" s="5"/>
    </row>
    <row r="633" ht="14.25" customHeight="1">
      <c r="A633" s="3" t="s">
        <v>26</v>
      </c>
      <c r="B633" s="3" t="s">
        <v>36</v>
      </c>
      <c r="C633" s="3" t="s">
        <v>36</v>
      </c>
      <c r="D633" s="3" t="s">
        <v>13</v>
      </c>
      <c r="E633" s="3" t="s">
        <v>14</v>
      </c>
      <c r="F633" s="3">
        <v>180.0</v>
      </c>
      <c r="G633" s="4" t="s">
        <v>19</v>
      </c>
      <c r="H633" s="3">
        <v>76.46971928032028</v>
      </c>
      <c r="I633" s="3"/>
      <c r="J633" s="5"/>
    </row>
    <row r="634" ht="14.25" customHeight="1">
      <c r="A634" s="3" t="s">
        <v>26</v>
      </c>
      <c r="B634" s="3" t="s">
        <v>36</v>
      </c>
      <c r="C634" s="3" t="s">
        <v>36</v>
      </c>
      <c r="D634" s="3" t="s">
        <v>13</v>
      </c>
      <c r="E634" s="3" t="s">
        <v>14</v>
      </c>
      <c r="F634" s="3">
        <v>180.0</v>
      </c>
      <c r="G634" s="4" t="s">
        <v>20</v>
      </c>
      <c r="H634" s="3">
        <v>79.20323734978962</v>
      </c>
      <c r="I634" s="3"/>
      <c r="J634" s="5"/>
    </row>
    <row r="635" ht="14.25" customHeight="1">
      <c r="A635" s="3" t="s">
        <v>26</v>
      </c>
      <c r="B635" s="3" t="s">
        <v>36</v>
      </c>
      <c r="C635" s="3" t="s">
        <v>36</v>
      </c>
      <c r="D635" s="3" t="s">
        <v>13</v>
      </c>
      <c r="E635" s="3" t="s">
        <v>14</v>
      </c>
      <c r="F635" s="3">
        <v>180.0</v>
      </c>
      <c r="G635" s="4" t="s">
        <v>21</v>
      </c>
      <c r="H635" s="3">
        <v>67.34752940589972</v>
      </c>
      <c r="I635" s="3"/>
      <c r="J635" s="5"/>
    </row>
    <row r="636" ht="14.25" customHeight="1">
      <c r="A636" s="3" t="s">
        <v>26</v>
      </c>
      <c r="B636" s="3" t="s">
        <v>36</v>
      </c>
      <c r="C636" s="3" t="s">
        <v>36</v>
      </c>
      <c r="D636" s="3" t="s">
        <v>13</v>
      </c>
      <c r="E636" s="3" t="s">
        <v>14</v>
      </c>
      <c r="F636" s="3">
        <v>180.0</v>
      </c>
      <c r="G636" s="4" t="s">
        <v>22</v>
      </c>
      <c r="H636" s="3">
        <v>66.97084861540338</v>
      </c>
      <c r="I636" s="3"/>
      <c r="J636" s="5"/>
    </row>
    <row r="637" ht="14.25" customHeight="1">
      <c r="A637" s="3" t="s">
        <v>10</v>
      </c>
      <c r="B637" s="6" t="s">
        <v>38</v>
      </c>
      <c r="C637" s="3" t="s">
        <v>39</v>
      </c>
      <c r="D637" s="3" t="s">
        <v>13</v>
      </c>
      <c r="E637" s="3" t="s">
        <v>14</v>
      </c>
      <c r="F637" s="3">
        <v>110.0</v>
      </c>
      <c r="G637" s="4" t="s">
        <v>15</v>
      </c>
      <c r="H637" s="3">
        <v>6.237637396687077</v>
      </c>
      <c r="I637" s="3">
        <v>4.288233633703155</v>
      </c>
      <c r="J637" s="7">
        <v>3.573528028085962</v>
      </c>
    </row>
    <row r="638" ht="14.25" customHeight="1">
      <c r="A638" s="3" t="s">
        <v>10</v>
      </c>
      <c r="B638" s="6" t="s">
        <v>38</v>
      </c>
      <c r="C638" s="3" t="s">
        <v>39</v>
      </c>
      <c r="D638" s="3" t="s">
        <v>13</v>
      </c>
      <c r="E638" s="3" t="s">
        <v>14</v>
      </c>
      <c r="F638" s="3">
        <v>110.0</v>
      </c>
      <c r="G638" s="4" t="s">
        <v>16</v>
      </c>
      <c r="H638" s="3">
        <v>4.590015517353109</v>
      </c>
      <c r="I638" s="3">
        <v>3.3211793666536047</v>
      </c>
      <c r="J638" s="7">
        <v>2.767649472211337</v>
      </c>
    </row>
    <row r="639" ht="14.25" customHeight="1">
      <c r="A639" s="3" t="s">
        <v>10</v>
      </c>
      <c r="B639" s="6" t="s">
        <v>38</v>
      </c>
      <c r="C639" s="3" t="s">
        <v>39</v>
      </c>
      <c r="D639" s="3" t="s">
        <v>13</v>
      </c>
      <c r="E639" s="3" t="s">
        <v>14</v>
      </c>
      <c r="F639" s="3">
        <v>110.0</v>
      </c>
      <c r="G639" s="4" t="s">
        <v>17</v>
      </c>
      <c r="H639" s="3">
        <v>5.703660139165748</v>
      </c>
      <c r="I639" s="3">
        <v>4.038773580593188</v>
      </c>
      <c r="J639" s="7">
        <v>3.365644650494323</v>
      </c>
    </row>
    <row r="640" ht="14.25" customHeight="1">
      <c r="A640" s="3" t="s">
        <v>10</v>
      </c>
      <c r="B640" s="6" t="s">
        <v>38</v>
      </c>
      <c r="C640" s="3" t="s">
        <v>39</v>
      </c>
      <c r="D640" s="3" t="s">
        <v>13</v>
      </c>
      <c r="E640" s="3" t="s">
        <v>14</v>
      </c>
      <c r="F640" s="3">
        <v>110.0</v>
      </c>
      <c r="G640" s="4" t="s">
        <v>18</v>
      </c>
      <c r="H640" s="3">
        <v>7.086340731411497</v>
      </c>
      <c r="I640" s="3">
        <v>4.953184690631497</v>
      </c>
      <c r="J640" s="7">
        <v>4.127653908859581</v>
      </c>
    </row>
    <row r="641" ht="14.25" customHeight="1">
      <c r="A641" s="3" t="s">
        <v>10</v>
      </c>
      <c r="B641" s="6" t="s">
        <v>38</v>
      </c>
      <c r="C641" s="3" t="s">
        <v>39</v>
      </c>
      <c r="D641" s="3" t="s">
        <v>13</v>
      </c>
      <c r="E641" s="3" t="s">
        <v>14</v>
      </c>
      <c r="F641" s="3">
        <v>110.0</v>
      </c>
      <c r="G641" s="4" t="s">
        <v>19</v>
      </c>
      <c r="H641" s="3">
        <v>6.6973497425623805</v>
      </c>
      <c r="I641" s="3">
        <v>4.65457545410034</v>
      </c>
      <c r="J641" s="7">
        <v>3.8788128784169498</v>
      </c>
    </row>
    <row r="642" ht="14.25" customHeight="1">
      <c r="A642" s="3" t="s">
        <v>10</v>
      </c>
      <c r="B642" s="6" t="s">
        <v>38</v>
      </c>
      <c r="C642" s="3" t="s">
        <v>39</v>
      </c>
      <c r="D642" s="3" t="s">
        <v>13</v>
      </c>
      <c r="E642" s="3" t="s">
        <v>14</v>
      </c>
      <c r="F642" s="3">
        <v>110.0</v>
      </c>
      <c r="G642" s="4" t="s">
        <v>20</v>
      </c>
      <c r="H642" s="3">
        <v>5.346775389158864</v>
      </c>
      <c r="I642" s="3">
        <v>3.9566976755158776</v>
      </c>
      <c r="J642" s="7">
        <v>3.297248062929898</v>
      </c>
    </row>
    <row r="643" ht="14.25" customHeight="1">
      <c r="A643" s="3" t="s">
        <v>10</v>
      </c>
      <c r="B643" s="6" t="s">
        <v>38</v>
      </c>
      <c r="C643" s="3" t="s">
        <v>39</v>
      </c>
      <c r="D643" s="3" t="s">
        <v>13</v>
      </c>
      <c r="E643" s="3" t="s">
        <v>14</v>
      </c>
      <c r="F643" s="3">
        <v>110.0</v>
      </c>
      <c r="G643" s="4" t="s">
        <v>21</v>
      </c>
      <c r="H643" s="3">
        <v>6.970528884564402</v>
      </c>
      <c r="I643" s="3">
        <v>5.12465952976748</v>
      </c>
      <c r="J643" s="7">
        <v>4.270549608139566</v>
      </c>
    </row>
    <row r="644" ht="14.25" customHeight="1">
      <c r="A644" s="3" t="s">
        <v>10</v>
      </c>
      <c r="B644" s="6" t="s">
        <v>38</v>
      </c>
      <c r="C644" s="3" t="s">
        <v>39</v>
      </c>
      <c r="D644" s="3" t="s">
        <v>13</v>
      </c>
      <c r="E644" s="3" t="s">
        <v>14</v>
      </c>
      <c r="F644" s="3">
        <v>110.0</v>
      </c>
      <c r="G644" s="4" t="s">
        <v>22</v>
      </c>
      <c r="H644" s="3">
        <v>6.062008075801273</v>
      </c>
      <c r="I644" s="3">
        <v>4.391042792216476</v>
      </c>
      <c r="J644" s="7">
        <v>3.6592023268470637</v>
      </c>
    </row>
    <row r="645" ht="14.25" customHeight="1">
      <c r="A645" s="3" t="s">
        <v>23</v>
      </c>
      <c r="B645" s="6" t="s">
        <v>38</v>
      </c>
      <c r="C645" s="3" t="s">
        <v>39</v>
      </c>
      <c r="D645" s="3" t="s">
        <v>13</v>
      </c>
      <c r="E645" s="3" t="s">
        <v>14</v>
      </c>
      <c r="F645" s="3">
        <v>110.0</v>
      </c>
      <c r="G645" s="4" t="s">
        <v>15</v>
      </c>
      <c r="H645" s="3">
        <v>60.491147679151666</v>
      </c>
      <c r="I645" s="3">
        <v>41.654460151507344</v>
      </c>
      <c r="J645" s="7">
        <v>34.71205012625612</v>
      </c>
    </row>
    <row r="646" ht="14.25" customHeight="1">
      <c r="A646" s="3" t="s">
        <v>23</v>
      </c>
      <c r="B646" s="6" t="s">
        <v>38</v>
      </c>
      <c r="C646" s="3" t="s">
        <v>39</v>
      </c>
      <c r="D646" s="3" t="s">
        <v>13</v>
      </c>
      <c r="E646" s="3" t="s">
        <v>14</v>
      </c>
      <c r="F646" s="3">
        <v>110.0</v>
      </c>
      <c r="G646" s="4" t="s">
        <v>16</v>
      </c>
      <c r="H646" s="3">
        <v>54.49280447495111</v>
      </c>
      <c r="I646" s="3">
        <v>38.648338443121816</v>
      </c>
      <c r="J646" s="7">
        <v>32.20694870260151</v>
      </c>
    </row>
    <row r="647" ht="14.25" customHeight="1">
      <c r="A647" s="3" t="s">
        <v>23</v>
      </c>
      <c r="B647" s="6" t="s">
        <v>38</v>
      </c>
      <c r="C647" s="3" t="s">
        <v>39</v>
      </c>
      <c r="D647" s="3" t="s">
        <v>13</v>
      </c>
      <c r="E647" s="3" t="s">
        <v>14</v>
      </c>
      <c r="F647" s="3">
        <v>110.0</v>
      </c>
      <c r="G647" s="4" t="s">
        <v>17</v>
      </c>
      <c r="H647" s="3">
        <v>61.28633239161479</v>
      </c>
      <c r="I647" s="3">
        <v>41.02535562756084</v>
      </c>
      <c r="J647" s="7">
        <v>34.1877963563007</v>
      </c>
    </row>
    <row r="648" ht="14.25" customHeight="1">
      <c r="A648" s="3" t="s">
        <v>23</v>
      </c>
      <c r="B648" s="6" t="s">
        <v>38</v>
      </c>
      <c r="C648" s="3" t="s">
        <v>39</v>
      </c>
      <c r="D648" s="3" t="s">
        <v>13</v>
      </c>
      <c r="E648" s="3" t="s">
        <v>14</v>
      </c>
      <c r="F648" s="3">
        <v>110.0</v>
      </c>
      <c r="G648" s="4" t="s">
        <v>18</v>
      </c>
      <c r="H648" s="3">
        <v>66.13736279056916</v>
      </c>
      <c r="I648" s="3">
        <v>42.17442066596673</v>
      </c>
      <c r="J648" s="7">
        <v>35.145350554972275</v>
      </c>
    </row>
    <row r="649" ht="14.25" customHeight="1">
      <c r="A649" s="3" t="s">
        <v>23</v>
      </c>
      <c r="B649" s="6" t="s">
        <v>38</v>
      </c>
      <c r="C649" s="3" t="s">
        <v>39</v>
      </c>
      <c r="D649" s="3" t="s">
        <v>13</v>
      </c>
      <c r="E649" s="3" t="s">
        <v>14</v>
      </c>
      <c r="F649" s="3">
        <v>110.0</v>
      </c>
      <c r="G649" s="4" t="s">
        <v>19</v>
      </c>
      <c r="H649" s="3">
        <v>70.18382316543612</v>
      </c>
      <c r="I649" s="3">
        <v>49.23900009692423</v>
      </c>
      <c r="J649" s="7">
        <v>41.03250008077019</v>
      </c>
    </row>
    <row r="650" ht="14.25" customHeight="1">
      <c r="A650" s="3" t="s">
        <v>23</v>
      </c>
      <c r="B650" s="6" t="s">
        <v>38</v>
      </c>
      <c r="C650" s="3" t="s">
        <v>39</v>
      </c>
      <c r="D650" s="3" t="s">
        <v>13</v>
      </c>
      <c r="E650" s="3" t="s">
        <v>14</v>
      </c>
      <c r="F650" s="3">
        <v>110.0</v>
      </c>
      <c r="G650" s="4" t="s">
        <v>20</v>
      </c>
      <c r="H650" s="3">
        <v>66.68744001643043</v>
      </c>
      <c r="I650" s="3">
        <v>40.470442751448864</v>
      </c>
      <c r="J650" s="7">
        <v>33.72536895954072</v>
      </c>
    </row>
    <row r="651" ht="14.25" customHeight="1">
      <c r="A651" s="3" t="s">
        <v>23</v>
      </c>
      <c r="B651" s="6" t="s">
        <v>38</v>
      </c>
      <c r="C651" s="3" t="s">
        <v>39</v>
      </c>
      <c r="D651" s="3" t="s">
        <v>13</v>
      </c>
      <c r="E651" s="3" t="s">
        <v>14</v>
      </c>
      <c r="F651" s="3">
        <v>110.0</v>
      </c>
      <c r="G651" s="4" t="s">
        <v>21</v>
      </c>
      <c r="H651" s="3">
        <v>71.63029967031066</v>
      </c>
      <c r="I651" s="3">
        <v>49.248675289639515</v>
      </c>
      <c r="J651" s="7">
        <v>41.040562741366266</v>
      </c>
    </row>
    <row r="652" ht="14.25" customHeight="1">
      <c r="A652" s="3" t="s">
        <v>23</v>
      </c>
      <c r="B652" s="6" t="s">
        <v>38</v>
      </c>
      <c r="C652" s="3" t="s">
        <v>39</v>
      </c>
      <c r="D652" s="3" t="s">
        <v>13</v>
      </c>
      <c r="E652" s="3" t="s">
        <v>14</v>
      </c>
      <c r="F652" s="3">
        <v>110.0</v>
      </c>
      <c r="G652" s="4" t="s">
        <v>22</v>
      </c>
      <c r="H652" s="3">
        <v>70.50338855169879</v>
      </c>
      <c r="I652" s="3">
        <v>45.545495577997784</v>
      </c>
      <c r="J652" s="7">
        <v>37.95457964833148</v>
      </c>
    </row>
    <row r="653" ht="14.25" customHeight="1">
      <c r="A653" s="3" t="s">
        <v>24</v>
      </c>
      <c r="B653" s="6" t="s">
        <v>38</v>
      </c>
      <c r="C653" s="3" t="s">
        <v>39</v>
      </c>
      <c r="D653" s="3" t="s">
        <v>13</v>
      </c>
      <c r="E653" s="3" t="s">
        <v>14</v>
      </c>
      <c r="F653" s="3">
        <v>110.0</v>
      </c>
      <c r="G653" s="4" t="s">
        <v>15</v>
      </c>
      <c r="H653" s="3">
        <v>14.372304268161182</v>
      </c>
      <c r="I653" s="3">
        <v>10.524981112425174</v>
      </c>
      <c r="J653" s="7">
        <v>8.770817593687646</v>
      </c>
    </row>
    <row r="654" ht="14.25" customHeight="1">
      <c r="A654" s="3" t="s">
        <v>24</v>
      </c>
      <c r="B654" s="6" t="s">
        <v>38</v>
      </c>
      <c r="C654" s="3" t="s">
        <v>39</v>
      </c>
      <c r="D654" s="3" t="s">
        <v>13</v>
      </c>
      <c r="E654" s="3" t="s">
        <v>14</v>
      </c>
      <c r="F654" s="3">
        <v>110.0</v>
      </c>
      <c r="G654" s="4" t="s">
        <v>16</v>
      </c>
      <c r="H654" s="3">
        <v>10.879993752240638</v>
      </c>
      <c r="I654" s="3">
        <v>6.735636620657027</v>
      </c>
      <c r="J654" s="7">
        <v>5.613030517214189</v>
      </c>
    </row>
    <row r="655" ht="14.25" customHeight="1">
      <c r="A655" s="3" t="s">
        <v>24</v>
      </c>
      <c r="B655" s="6" t="s">
        <v>38</v>
      </c>
      <c r="C655" s="3" t="s">
        <v>39</v>
      </c>
      <c r="D655" s="3" t="s">
        <v>13</v>
      </c>
      <c r="E655" s="3" t="s">
        <v>14</v>
      </c>
      <c r="F655" s="3">
        <v>110.0</v>
      </c>
      <c r="G655" s="4" t="s">
        <v>17</v>
      </c>
      <c r="H655" s="3">
        <v>13.888152694507188</v>
      </c>
      <c r="I655" s="3">
        <v>8.44106262388147</v>
      </c>
      <c r="J655" s="7">
        <v>7.034218853234558</v>
      </c>
    </row>
    <row r="656" ht="14.25" customHeight="1">
      <c r="A656" s="3" t="s">
        <v>24</v>
      </c>
      <c r="B656" s="6" t="s">
        <v>38</v>
      </c>
      <c r="C656" s="3" t="s">
        <v>39</v>
      </c>
      <c r="D656" s="3" t="s">
        <v>13</v>
      </c>
      <c r="E656" s="3" t="s">
        <v>14</v>
      </c>
      <c r="F656" s="3">
        <v>110.0</v>
      </c>
      <c r="G656" s="4" t="s">
        <v>18</v>
      </c>
      <c r="H656" s="3">
        <v>15.62520572503208</v>
      </c>
      <c r="I656" s="3">
        <v>9.859780005125053</v>
      </c>
      <c r="J656" s="7">
        <v>8.21648333760421</v>
      </c>
    </row>
    <row r="657" ht="14.25" customHeight="1">
      <c r="A657" s="3" t="s">
        <v>24</v>
      </c>
      <c r="B657" s="6" t="s">
        <v>38</v>
      </c>
      <c r="C657" s="3" t="s">
        <v>39</v>
      </c>
      <c r="D657" s="3" t="s">
        <v>13</v>
      </c>
      <c r="E657" s="3" t="s">
        <v>14</v>
      </c>
      <c r="F657" s="3">
        <v>110.0</v>
      </c>
      <c r="G657" s="4" t="s">
        <v>19</v>
      </c>
      <c r="H657" s="3">
        <v>16.63660557364736</v>
      </c>
      <c r="I657" s="3">
        <v>11.29036353974798</v>
      </c>
      <c r="J657" s="7">
        <v>9.408636283123316</v>
      </c>
    </row>
    <row r="658" ht="14.25" customHeight="1">
      <c r="A658" s="3" t="s">
        <v>24</v>
      </c>
      <c r="B658" s="6" t="s">
        <v>38</v>
      </c>
      <c r="C658" s="3" t="s">
        <v>39</v>
      </c>
      <c r="D658" s="3" t="s">
        <v>13</v>
      </c>
      <c r="E658" s="3" t="s">
        <v>14</v>
      </c>
      <c r="F658" s="3">
        <v>110.0</v>
      </c>
      <c r="G658" s="4" t="s">
        <v>20</v>
      </c>
      <c r="H658" s="3">
        <v>16.67773087040527</v>
      </c>
      <c r="I658" s="3">
        <v>10.613029200039458</v>
      </c>
      <c r="J658" s="7">
        <v>8.84419100003288</v>
      </c>
    </row>
    <row r="659" ht="14.25" customHeight="1">
      <c r="A659" s="3" t="s">
        <v>24</v>
      </c>
      <c r="B659" s="6" t="s">
        <v>38</v>
      </c>
      <c r="C659" s="3" t="s">
        <v>39</v>
      </c>
      <c r="D659" s="3" t="s">
        <v>13</v>
      </c>
      <c r="E659" s="3" t="s">
        <v>14</v>
      </c>
      <c r="F659" s="3">
        <v>110.0</v>
      </c>
      <c r="G659" s="4" t="s">
        <v>21</v>
      </c>
      <c r="H659" s="3">
        <v>15.019083041415065</v>
      </c>
      <c r="I659" s="3">
        <v>10.008468556716224</v>
      </c>
      <c r="J659" s="7">
        <v>8.340390463930186</v>
      </c>
    </row>
    <row r="660" ht="14.25" customHeight="1">
      <c r="A660" s="3" t="s">
        <v>24</v>
      </c>
      <c r="B660" s="6" t="s">
        <v>38</v>
      </c>
      <c r="C660" s="3" t="s">
        <v>39</v>
      </c>
      <c r="D660" s="3" t="s">
        <v>13</v>
      </c>
      <c r="E660" s="3" t="s">
        <v>14</v>
      </c>
      <c r="F660" s="3">
        <v>110.0</v>
      </c>
      <c r="G660" s="4" t="s">
        <v>22</v>
      </c>
      <c r="H660" s="3">
        <v>14.607855391707492</v>
      </c>
      <c r="I660" s="3">
        <v>9.390849584026805</v>
      </c>
      <c r="J660" s="7">
        <v>7.825707986689005</v>
      </c>
    </row>
    <row r="661" ht="14.25" customHeight="1">
      <c r="A661" s="3" t="s">
        <v>25</v>
      </c>
      <c r="B661" s="6" t="s">
        <v>38</v>
      </c>
      <c r="C661" s="3" t="s">
        <v>39</v>
      </c>
      <c r="D661" s="3" t="s">
        <v>13</v>
      </c>
      <c r="E661" s="3" t="s">
        <v>14</v>
      </c>
      <c r="F661" s="3">
        <v>110.0</v>
      </c>
      <c r="G661" s="4" t="s">
        <v>15</v>
      </c>
      <c r="H661" s="3">
        <v>26.170089560647863</v>
      </c>
      <c r="I661" s="3">
        <v>17.2512519373974</v>
      </c>
      <c r="J661" s="7">
        <v>14.376043281164499</v>
      </c>
    </row>
    <row r="662" ht="14.25" customHeight="1">
      <c r="A662" s="3" t="s">
        <v>25</v>
      </c>
      <c r="B662" s="6" t="s">
        <v>38</v>
      </c>
      <c r="C662" s="3" t="s">
        <v>39</v>
      </c>
      <c r="D662" s="3" t="s">
        <v>13</v>
      </c>
      <c r="E662" s="3" t="s">
        <v>14</v>
      </c>
      <c r="F662" s="3">
        <v>110.0</v>
      </c>
      <c r="G662" s="4" t="s">
        <v>16</v>
      </c>
      <c r="H662" s="3">
        <v>26.863527445341912</v>
      </c>
      <c r="I662" s="3">
        <v>18.65565045925735</v>
      </c>
      <c r="J662" s="7">
        <v>15.546375382714459</v>
      </c>
    </row>
    <row r="663" ht="14.25" customHeight="1">
      <c r="A663" s="3" t="s">
        <v>25</v>
      </c>
      <c r="B663" s="6" t="s">
        <v>38</v>
      </c>
      <c r="C663" s="3" t="s">
        <v>39</v>
      </c>
      <c r="D663" s="3" t="s">
        <v>13</v>
      </c>
      <c r="E663" s="3" t="s">
        <v>14</v>
      </c>
      <c r="F663" s="3">
        <v>110.0</v>
      </c>
      <c r="G663" s="4" t="s">
        <v>17</v>
      </c>
      <c r="H663" s="3">
        <v>26.478296011836505</v>
      </c>
      <c r="I663" s="3">
        <v>19.404569285207472</v>
      </c>
      <c r="J663" s="7">
        <v>16.170474404339558</v>
      </c>
    </row>
    <row r="664" ht="14.25" customHeight="1">
      <c r="A664" s="3" t="s">
        <v>25</v>
      </c>
      <c r="B664" s="6" t="s">
        <v>38</v>
      </c>
      <c r="C664" s="3" t="s">
        <v>39</v>
      </c>
      <c r="D664" s="3" t="s">
        <v>13</v>
      </c>
      <c r="E664" s="3" t="s">
        <v>14</v>
      </c>
      <c r="F664" s="3">
        <v>110.0</v>
      </c>
      <c r="G664" s="4" t="s">
        <v>18</v>
      </c>
      <c r="H664" s="3">
        <v>27.19189360064357</v>
      </c>
      <c r="I664" s="3">
        <v>19.39672676344283</v>
      </c>
      <c r="J664" s="7">
        <v>16.163938969535696</v>
      </c>
    </row>
    <row r="665" ht="14.25" customHeight="1">
      <c r="A665" s="3" t="s">
        <v>25</v>
      </c>
      <c r="B665" s="6" t="s">
        <v>38</v>
      </c>
      <c r="C665" s="3" t="s">
        <v>39</v>
      </c>
      <c r="D665" s="3" t="s">
        <v>13</v>
      </c>
      <c r="E665" s="3" t="s">
        <v>14</v>
      </c>
      <c r="F665" s="3">
        <v>110.0</v>
      </c>
      <c r="G665" s="4" t="s">
        <v>19</v>
      </c>
      <c r="H665" s="3">
        <v>27.42496616826472</v>
      </c>
      <c r="I665" s="3">
        <v>17.562490724072358</v>
      </c>
      <c r="J665" s="7">
        <v>14.635408936726964</v>
      </c>
    </row>
    <row r="666" ht="14.25" customHeight="1">
      <c r="A666" s="3" t="s">
        <v>25</v>
      </c>
      <c r="B666" s="6" t="s">
        <v>38</v>
      </c>
      <c r="C666" s="3" t="s">
        <v>39</v>
      </c>
      <c r="D666" s="3" t="s">
        <v>13</v>
      </c>
      <c r="E666" s="3" t="s">
        <v>14</v>
      </c>
      <c r="F666" s="3">
        <v>110.0</v>
      </c>
      <c r="G666" s="4" t="s">
        <v>20</v>
      </c>
      <c r="H666" s="3">
        <v>30.146086515082846</v>
      </c>
      <c r="I666" s="3">
        <v>21.700191420495088</v>
      </c>
      <c r="J666" s="7">
        <v>18.083492850412576</v>
      </c>
    </row>
    <row r="667" ht="14.25" customHeight="1">
      <c r="A667" s="3" t="s">
        <v>25</v>
      </c>
      <c r="B667" s="6" t="s">
        <v>38</v>
      </c>
      <c r="C667" s="3" t="s">
        <v>39</v>
      </c>
      <c r="D667" s="3" t="s">
        <v>13</v>
      </c>
      <c r="E667" s="3" t="s">
        <v>14</v>
      </c>
      <c r="F667" s="3">
        <v>110.0</v>
      </c>
      <c r="G667" s="4" t="s">
        <v>21</v>
      </c>
      <c r="H667" s="3">
        <v>31.915783672505686</v>
      </c>
      <c r="I667" s="3">
        <v>23.424359407036793</v>
      </c>
      <c r="J667" s="7">
        <v>19.520299505863992</v>
      </c>
    </row>
    <row r="668" ht="14.25" customHeight="1">
      <c r="A668" s="3" t="s">
        <v>25</v>
      </c>
      <c r="B668" s="6" t="s">
        <v>38</v>
      </c>
      <c r="C668" s="3" t="s">
        <v>39</v>
      </c>
      <c r="D668" s="3" t="s">
        <v>13</v>
      </c>
      <c r="E668" s="3" t="s">
        <v>14</v>
      </c>
      <c r="F668" s="3">
        <v>110.0</v>
      </c>
      <c r="G668" s="4" t="s">
        <v>22</v>
      </c>
      <c r="H668" s="3">
        <v>33.91981109543675</v>
      </c>
      <c r="I668" s="3">
        <v>24.579535187749308</v>
      </c>
      <c r="J668" s="7">
        <v>20.48294598979109</v>
      </c>
    </row>
    <row r="669" ht="14.25" customHeight="1">
      <c r="A669" s="3" t="s">
        <v>26</v>
      </c>
      <c r="B669" s="6" t="s">
        <v>38</v>
      </c>
      <c r="C669" s="3" t="s">
        <v>39</v>
      </c>
      <c r="D669" s="3" t="s">
        <v>13</v>
      </c>
      <c r="E669" s="3" t="s">
        <v>14</v>
      </c>
      <c r="F669" s="3">
        <v>110.0</v>
      </c>
      <c r="G669" s="4" t="s">
        <v>15</v>
      </c>
      <c r="H669" s="3">
        <v>19.477482568786023</v>
      </c>
      <c r="I669" s="3">
        <v>12.852486697418888</v>
      </c>
      <c r="J669" s="7">
        <v>10.710405581182407</v>
      </c>
    </row>
    <row r="670" ht="14.25" customHeight="1">
      <c r="A670" s="3" t="s">
        <v>26</v>
      </c>
      <c r="B670" s="6" t="s">
        <v>38</v>
      </c>
      <c r="C670" s="3" t="s">
        <v>39</v>
      </c>
      <c r="D670" s="3" t="s">
        <v>13</v>
      </c>
      <c r="E670" s="3" t="s">
        <v>14</v>
      </c>
      <c r="F670" s="3">
        <v>110.0</v>
      </c>
      <c r="G670" s="4" t="s">
        <v>16</v>
      </c>
      <c r="H670" s="3">
        <v>16.37191134688026</v>
      </c>
      <c r="I670" s="3">
        <v>10.715400986560995</v>
      </c>
      <c r="J670" s="7">
        <v>8.929500822134163</v>
      </c>
    </row>
    <row r="671" ht="14.25" customHeight="1">
      <c r="A671" s="3" t="s">
        <v>26</v>
      </c>
      <c r="B671" s="6" t="s">
        <v>38</v>
      </c>
      <c r="C671" s="3" t="s">
        <v>39</v>
      </c>
      <c r="D671" s="3" t="s">
        <v>13</v>
      </c>
      <c r="E671" s="3" t="s">
        <v>14</v>
      </c>
      <c r="F671" s="3">
        <v>110.0</v>
      </c>
      <c r="G671" s="4" t="s">
        <v>17</v>
      </c>
      <c r="H671" s="3">
        <v>20.640346657306228</v>
      </c>
      <c r="I671" s="3">
        <v>14.92733430312507</v>
      </c>
      <c r="J671" s="7">
        <v>12.439445252604225</v>
      </c>
    </row>
    <row r="672" ht="14.25" customHeight="1">
      <c r="A672" s="3" t="s">
        <v>26</v>
      </c>
      <c r="B672" s="6" t="s">
        <v>38</v>
      </c>
      <c r="C672" s="3" t="s">
        <v>39</v>
      </c>
      <c r="D672" s="3" t="s">
        <v>13</v>
      </c>
      <c r="E672" s="3" t="s">
        <v>14</v>
      </c>
      <c r="F672" s="3">
        <v>110.0</v>
      </c>
      <c r="G672" s="4" t="s">
        <v>18</v>
      </c>
      <c r="H672" s="3">
        <v>22.95657254834857</v>
      </c>
      <c r="I672" s="3">
        <v>15.24087074364932</v>
      </c>
      <c r="J672" s="7">
        <v>12.700725619707766</v>
      </c>
    </row>
    <row r="673" ht="14.25" customHeight="1">
      <c r="A673" s="3" t="s">
        <v>26</v>
      </c>
      <c r="B673" s="6" t="s">
        <v>38</v>
      </c>
      <c r="C673" s="3" t="s">
        <v>39</v>
      </c>
      <c r="D673" s="3" t="s">
        <v>13</v>
      </c>
      <c r="E673" s="3" t="s">
        <v>14</v>
      </c>
      <c r="F673" s="3">
        <v>110.0</v>
      </c>
      <c r="G673" s="4" t="s">
        <v>19</v>
      </c>
      <c r="H673" s="3">
        <v>25.665773385131395</v>
      </c>
      <c r="I673" s="3">
        <v>18.250437854052134</v>
      </c>
      <c r="J673" s="7">
        <v>15.208698211710113</v>
      </c>
    </row>
    <row r="674" ht="14.25" customHeight="1">
      <c r="A674" s="3" t="s">
        <v>26</v>
      </c>
      <c r="B674" s="6" t="s">
        <v>38</v>
      </c>
      <c r="C674" s="3" t="s">
        <v>39</v>
      </c>
      <c r="D674" s="3" t="s">
        <v>13</v>
      </c>
      <c r="E674" s="3" t="s">
        <v>14</v>
      </c>
      <c r="F674" s="3">
        <v>110.0</v>
      </c>
      <c r="G674" s="4" t="s">
        <v>20</v>
      </c>
      <c r="H674" s="3">
        <v>19.957801672376903</v>
      </c>
      <c r="I674" s="3">
        <v>14.322889571929997</v>
      </c>
      <c r="J674" s="7">
        <v>11.935741309941664</v>
      </c>
    </row>
    <row r="675" ht="14.25" customHeight="1">
      <c r="A675" s="3" t="s">
        <v>26</v>
      </c>
      <c r="B675" s="6" t="s">
        <v>38</v>
      </c>
      <c r="C675" s="3" t="s">
        <v>39</v>
      </c>
      <c r="D675" s="3" t="s">
        <v>13</v>
      </c>
      <c r="E675" s="3" t="s">
        <v>14</v>
      </c>
      <c r="F675" s="3">
        <v>110.0</v>
      </c>
      <c r="G675" s="4" t="s">
        <v>21</v>
      </c>
      <c r="H675" s="3">
        <v>24.485131881128908</v>
      </c>
      <c r="I675" s="3">
        <v>16.563156283564837</v>
      </c>
      <c r="J675" s="7">
        <v>13.80263023630403</v>
      </c>
    </row>
    <row r="676" ht="14.25" customHeight="1">
      <c r="A676" s="3" t="s">
        <v>26</v>
      </c>
      <c r="B676" s="6" t="s">
        <v>38</v>
      </c>
      <c r="C676" s="3" t="s">
        <v>39</v>
      </c>
      <c r="D676" s="3" t="s">
        <v>13</v>
      </c>
      <c r="E676" s="3" t="s">
        <v>14</v>
      </c>
      <c r="F676" s="3">
        <v>110.0</v>
      </c>
      <c r="G676" s="4" t="s">
        <v>22</v>
      </c>
      <c r="H676" s="3">
        <v>21.573552304985125</v>
      </c>
      <c r="I676" s="3">
        <v>14.586211483724679</v>
      </c>
      <c r="J676" s="7">
        <v>12.155176236437232</v>
      </c>
    </row>
    <row r="677" ht="14.25" customHeight="1">
      <c r="A677" s="3" t="s">
        <v>10</v>
      </c>
      <c r="B677" s="6" t="s">
        <v>38</v>
      </c>
      <c r="C677" s="3" t="s">
        <v>40</v>
      </c>
      <c r="D677" s="3" t="s">
        <v>13</v>
      </c>
      <c r="E677" s="3" t="s">
        <v>14</v>
      </c>
      <c r="F677" s="3">
        <v>110.0</v>
      </c>
      <c r="G677" s="4" t="s">
        <v>15</v>
      </c>
      <c r="H677" s="3">
        <v>11.194077178152938</v>
      </c>
      <c r="I677" s="3">
        <v>7.041240759391692</v>
      </c>
      <c r="J677" s="7">
        <v>5.4368317190886355</v>
      </c>
    </row>
    <row r="678" ht="14.25" customHeight="1">
      <c r="A678" s="3" t="s">
        <v>10</v>
      </c>
      <c r="B678" s="6" t="s">
        <v>38</v>
      </c>
      <c r="C678" s="3" t="s">
        <v>40</v>
      </c>
      <c r="D678" s="3" t="s">
        <v>13</v>
      </c>
      <c r="E678" s="3" t="s">
        <v>14</v>
      </c>
      <c r="F678" s="3">
        <v>110.0</v>
      </c>
      <c r="G678" s="4" t="s">
        <v>16</v>
      </c>
      <c r="H678" s="3">
        <v>12.89568487696306</v>
      </c>
      <c r="I678" s="3">
        <v>9.122509160908619</v>
      </c>
      <c r="J678" s="7">
        <v>7.043864690686911</v>
      </c>
    </row>
    <row r="679" ht="14.25" customHeight="1">
      <c r="A679" s="3" t="s">
        <v>10</v>
      </c>
      <c r="B679" s="6" t="s">
        <v>38</v>
      </c>
      <c r="C679" s="3" t="s">
        <v>40</v>
      </c>
      <c r="D679" s="3" t="s">
        <v>13</v>
      </c>
      <c r="E679" s="3" t="s">
        <v>14</v>
      </c>
      <c r="F679" s="3">
        <v>110.0</v>
      </c>
      <c r="G679" s="4" t="s">
        <v>17</v>
      </c>
      <c r="H679" s="3">
        <v>11.690200633420233</v>
      </c>
      <c r="I679" s="3">
        <v>7.75579281761829</v>
      </c>
      <c r="J679" s="7">
        <v>5.9885667652059995</v>
      </c>
    </row>
    <row r="680" ht="14.25" customHeight="1">
      <c r="A680" s="3" t="s">
        <v>10</v>
      </c>
      <c r="B680" s="6" t="s">
        <v>38</v>
      </c>
      <c r="C680" s="3" t="s">
        <v>40</v>
      </c>
      <c r="D680" s="3" t="s">
        <v>13</v>
      </c>
      <c r="E680" s="3" t="s">
        <v>14</v>
      </c>
      <c r="F680" s="3">
        <v>110.0</v>
      </c>
      <c r="G680" s="4" t="s">
        <v>18</v>
      </c>
      <c r="H680" s="3">
        <v>9.725069877025021</v>
      </c>
      <c r="I680" s="3">
        <v>6.81293063622409</v>
      </c>
      <c r="J680" s="7">
        <v>5.260544078622569</v>
      </c>
    </row>
    <row r="681" ht="14.25" customHeight="1">
      <c r="A681" s="3" t="s">
        <v>10</v>
      </c>
      <c r="B681" s="6" t="s">
        <v>38</v>
      </c>
      <c r="C681" s="3" t="s">
        <v>40</v>
      </c>
      <c r="D681" s="3" t="s">
        <v>13</v>
      </c>
      <c r="E681" s="3" t="s">
        <v>14</v>
      </c>
      <c r="F681" s="3">
        <v>110.0</v>
      </c>
      <c r="G681" s="4" t="s">
        <v>19</v>
      </c>
      <c r="H681" s="3">
        <v>9.859289977041357</v>
      </c>
      <c r="I681" s="3">
        <v>7.338016855850834</v>
      </c>
      <c r="J681" s="7">
        <v>5.665984754730008</v>
      </c>
    </row>
    <row r="682" ht="14.25" customHeight="1">
      <c r="A682" s="3" t="s">
        <v>10</v>
      </c>
      <c r="B682" s="6" t="s">
        <v>38</v>
      </c>
      <c r="C682" s="3" t="s">
        <v>40</v>
      </c>
      <c r="D682" s="3" t="s">
        <v>13</v>
      </c>
      <c r="E682" s="3" t="s">
        <v>14</v>
      </c>
      <c r="F682" s="3">
        <v>110.0</v>
      </c>
      <c r="G682" s="4" t="s">
        <v>20</v>
      </c>
      <c r="H682" s="3">
        <v>9.330161353273326</v>
      </c>
      <c r="I682" s="3">
        <v>5.654847026751906</v>
      </c>
      <c r="J682" s="7">
        <v>4.366340071617563</v>
      </c>
    </row>
    <row r="683" ht="14.25" customHeight="1">
      <c r="A683" s="3" t="s">
        <v>10</v>
      </c>
      <c r="B683" s="6" t="s">
        <v>38</v>
      </c>
      <c r="C683" s="3" t="s">
        <v>40</v>
      </c>
      <c r="D683" s="3" t="s">
        <v>13</v>
      </c>
      <c r="E683" s="3" t="s">
        <v>14</v>
      </c>
      <c r="F683" s="3">
        <v>110.0</v>
      </c>
      <c r="G683" s="4" t="s">
        <v>21</v>
      </c>
      <c r="H683" s="3">
        <v>9.310875232862685</v>
      </c>
      <c r="I683" s="3">
        <v>5.983540222833042</v>
      </c>
      <c r="J683" s="7">
        <v>4.6201376131827985</v>
      </c>
    </row>
    <row r="684" ht="14.25" customHeight="1">
      <c r="A684" s="3" t="s">
        <v>10</v>
      </c>
      <c r="B684" s="6" t="s">
        <v>38</v>
      </c>
      <c r="C684" s="3" t="s">
        <v>40</v>
      </c>
      <c r="D684" s="3" t="s">
        <v>13</v>
      </c>
      <c r="E684" s="3" t="s">
        <v>14</v>
      </c>
      <c r="F684" s="3">
        <v>110.0</v>
      </c>
      <c r="G684" s="4" t="s">
        <v>22</v>
      </c>
      <c r="H684" s="3">
        <v>9.607691929651999</v>
      </c>
      <c r="I684" s="3">
        <v>6.594174846345428</v>
      </c>
      <c r="J684" s="7">
        <v>5.091633732024885</v>
      </c>
    </row>
    <row r="685" ht="14.25" customHeight="1">
      <c r="A685" s="3" t="s">
        <v>23</v>
      </c>
      <c r="B685" s="6" t="s">
        <v>38</v>
      </c>
      <c r="C685" s="3" t="s">
        <v>40</v>
      </c>
      <c r="D685" s="3" t="s">
        <v>13</v>
      </c>
      <c r="E685" s="3" t="s">
        <v>14</v>
      </c>
      <c r="F685" s="3">
        <v>110.0</v>
      </c>
      <c r="G685" s="4" t="s">
        <v>15</v>
      </c>
      <c r="H685" s="3">
        <v>86.54988800070062</v>
      </c>
      <c r="I685" s="3">
        <v>56.360892941672084</v>
      </c>
      <c r="J685" s="7">
        <v>43.5185645445696</v>
      </c>
    </row>
    <row r="686" ht="14.25" customHeight="1">
      <c r="A686" s="3" t="s">
        <v>23</v>
      </c>
      <c r="B686" s="6" t="s">
        <v>38</v>
      </c>
      <c r="C686" s="3" t="s">
        <v>40</v>
      </c>
      <c r="D686" s="3" t="s">
        <v>13</v>
      </c>
      <c r="E686" s="3" t="s">
        <v>14</v>
      </c>
      <c r="F686" s="3">
        <v>110.0</v>
      </c>
      <c r="G686" s="4" t="s">
        <v>16</v>
      </c>
      <c r="H686" s="3">
        <v>95.70562973714037</v>
      </c>
      <c r="I686" s="3">
        <v>60.01601495027123</v>
      </c>
      <c r="J686" s="7">
        <v>46.340834646182714</v>
      </c>
    </row>
    <row r="687" ht="14.25" customHeight="1">
      <c r="A687" s="3" t="s">
        <v>23</v>
      </c>
      <c r="B687" s="6" t="s">
        <v>38</v>
      </c>
      <c r="C687" s="3" t="s">
        <v>40</v>
      </c>
      <c r="D687" s="3" t="s">
        <v>13</v>
      </c>
      <c r="E687" s="3" t="s">
        <v>14</v>
      </c>
      <c r="F687" s="3">
        <v>110.0</v>
      </c>
      <c r="G687" s="4" t="s">
        <v>17</v>
      </c>
      <c r="H687" s="3">
        <v>91.41191669202858</v>
      </c>
      <c r="I687" s="3">
        <v>63.89198055118363</v>
      </c>
      <c r="J687" s="7">
        <v>49.33362717256091</v>
      </c>
    </row>
    <row r="688" ht="14.25" customHeight="1">
      <c r="A688" s="3" t="s">
        <v>23</v>
      </c>
      <c r="B688" s="6" t="s">
        <v>38</v>
      </c>
      <c r="C688" s="3" t="s">
        <v>40</v>
      </c>
      <c r="D688" s="3" t="s">
        <v>13</v>
      </c>
      <c r="E688" s="3" t="s">
        <v>14</v>
      </c>
      <c r="F688" s="3">
        <v>110.0</v>
      </c>
      <c r="G688" s="4" t="s">
        <v>18</v>
      </c>
      <c r="H688" s="3">
        <v>84.13697748486119</v>
      </c>
      <c r="I688" s="3">
        <v>57.47562114370894</v>
      </c>
      <c r="J688" s="7">
        <v>44.37929205753142</v>
      </c>
    </row>
    <row r="689" ht="14.25" customHeight="1">
      <c r="A689" s="3" t="s">
        <v>23</v>
      </c>
      <c r="B689" s="6" t="s">
        <v>38</v>
      </c>
      <c r="C689" s="3" t="s">
        <v>40</v>
      </c>
      <c r="D689" s="3" t="s">
        <v>13</v>
      </c>
      <c r="E689" s="3" t="s">
        <v>14</v>
      </c>
      <c r="F689" s="3">
        <v>110.0</v>
      </c>
      <c r="G689" s="4" t="s">
        <v>19</v>
      </c>
      <c r="H689" s="3">
        <v>82.01758542311124</v>
      </c>
      <c r="I689" s="3">
        <v>58.70501965412172</v>
      </c>
      <c r="J689" s="7">
        <v>45.328561233975535</v>
      </c>
    </row>
    <row r="690" ht="14.25" customHeight="1">
      <c r="A690" s="3" t="s">
        <v>23</v>
      </c>
      <c r="B690" s="6" t="s">
        <v>38</v>
      </c>
      <c r="C690" s="3" t="s">
        <v>40</v>
      </c>
      <c r="D690" s="3" t="s">
        <v>13</v>
      </c>
      <c r="E690" s="3" t="s">
        <v>14</v>
      </c>
      <c r="F690" s="3">
        <v>110.0</v>
      </c>
      <c r="G690" s="4" t="s">
        <v>20</v>
      </c>
      <c r="H690" s="3">
        <v>68.20978861653823</v>
      </c>
      <c r="I690" s="3">
        <v>49.75084635674229</v>
      </c>
      <c r="J690" s="7">
        <v>38.41467559010292</v>
      </c>
    </row>
    <row r="691" ht="14.25" customHeight="1">
      <c r="A691" s="3" t="s">
        <v>23</v>
      </c>
      <c r="B691" s="6" t="s">
        <v>38</v>
      </c>
      <c r="C691" s="3" t="s">
        <v>40</v>
      </c>
      <c r="D691" s="3" t="s">
        <v>13</v>
      </c>
      <c r="E691" s="3" t="s">
        <v>14</v>
      </c>
      <c r="F691" s="3">
        <v>110.0</v>
      </c>
      <c r="G691" s="4" t="s">
        <v>21</v>
      </c>
      <c r="H691" s="3">
        <v>63.67196561261579</v>
      </c>
      <c r="I691" s="3">
        <v>41.00286406297937</v>
      </c>
      <c r="J691" s="7">
        <v>31.65999850434667</v>
      </c>
    </row>
    <row r="692" ht="14.25" customHeight="1">
      <c r="A692" s="3" t="s">
        <v>23</v>
      </c>
      <c r="B692" s="6" t="s">
        <v>38</v>
      </c>
      <c r="C692" s="3" t="s">
        <v>40</v>
      </c>
      <c r="D692" s="3" t="s">
        <v>13</v>
      </c>
      <c r="E692" s="3" t="s">
        <v>14</v>
      </c>
      <c r="F692" s="3">
        <v>110.0</v>
      </c>
      <c r="G692" s="4" t="s">
        <v>22</v>
      </c>
      <c r="H692" s="3">
        <v>54.69747612232309</v>
      </c>
      <c r="I692" s="3">
        <v>40.56941233578716</v>
      </c>
      <c r="J692" s="7">
        <v>31.32531259036921</v>
      </c>
    </row>
    <row r="693" ht="14.25" customHeight="1">
      <c r="A693" s="3" t="s">
        <v>24</v>
      </c>
      <c r="B693" s="6" t="s">
        <v>38</v>
      </c>
      <c r="C693" s="3" t="s">
        <v>40</v>
      </c>
      <c r="D693" s="3" t="s">
        <v>13</v>
      </c>
      <c r="E693" s="3" t="s">
        <v>14</v>
      </c>
      <c r="F693" s="3">
        <v>110.0</v>
      </c>
      <c r="G693" s="4" t="s">
        <v>15</v>
      </c>
      <c r="H693" s="3">
        <v>16.000919533594768</v>
      </c>
      <c r="I693" s="3">
        <v>11.694074809645473</v>
      </c>
      <c r="J693" s="7">
        <v>9.029476341321498</v>
      </c>
    </row>
    <row r="694" ht="14.25" customHeight="1">
      <c r="A694" s="3" t="s">
        <v>24</v>
      </c>
      <c r="B694" s="6" t="s">
        <v>38</v>
      </c>
      <c r="C694" s="3" t="s">
        <v>40</v>
      </c>
      <c r="D694" s="3" t="s">
        <v>13</v>
      </c>
      <c r="E694" s="3" t="s">
        <v>14</v>
      </c>
      <c r="F694" s="3">
        <v>110.0</v>
      </c>
      <c r="G694" s="4" t="s">
        <v>16</v>
      </c>
      <c r="H694" s="3">
        <v>20.787690787596382</v>
      </c>
      <c r="I694" s="3">
        <v>13.056993005216587</v>
      </c>
      <c r="J694" s="7">
        <v>10.081841560664495</v>
      </c>
    </row>
    <row r="695" ht="14.25" customHeight="1">
      <c r="A695" s="3" t="s">
        <v>24</v>
      </c>
      <c r="B695" s="6" t="s">
        <v>38</v>
      </c>
      <c r="C695" s="3" t="s">
        <v>40</v>
      </c>
      <c r="D695" s="3" t="s">
        <v>13</v>
      </c>
      <c r="E695" s="3" t="s">
        <v>14</v>
      </c>
      <c r="F695" s="3">
        <v>110.0</v>
      </c>
      <c r="G695" s="4" t="s">
        <v>17</v>
      </c>
      <c r="H695" s="3">
        <v>21.22252841137726</v>
      </c>
      <c r="I695" s="3">
        <v>13.257008489325614</v>
      </c>
      <c r="J695" s="7">
        <v>10.236281746062554</v>
      </c>
    </row>
    <row r="696" ht="14.25" customHeight="1">
      <c r="A696" s="3" t="s">
        <v>24</v>
      </c>
      <c r="B696" s="6" t="s">
        <v>38</v>
      </c>
      <c r="C696" s="3" t="s">
        <v>40</v>
      </c>
      <c r="D696" s="3" t="s">
        <v>13</v>
      </c>
      <c r="E696" s="3" t="s">
        <v>14</v>
      </c>
      <c r="F696" s="3">
        <v>110.0</v>
      </c>
      <c r="G696" s="4" t="s">
        <v>18</v>
      </c>
      <c r="H696" s="3">
        <v>22.082737676303825</v>
      </c>
      <c r="I696" s="3">
        <v>15.192486211884654</v>
      </c>
      <c r="J696" s="7">
        <v>11.730743735529808</v>
      </c>
    </row>
    <row r="697" ht="14.25" customHeight="1">
      <c r="A697" s="3" t="s">
        <v>24</v>
      </c>
      <c r="B697" s="6" t="s">
        <v>38</v>
      </c>
      <c r="C697" s="3" t="s">
        <v>40</v>
      </c>
      <c r="D697" s="3" t="s">
        <v>13</v>
      </c>
      <c r="E697" s="3" t="s">
        <v>14</v>
      </c>
      <c r="F697" s="3">
        <v>110.0</v>
      </c>
      <c r="G697" s="4" t="s">
        <v>19</v>
      </c>
      <c r="H697" s="3">
        <v>19.98143025574325</v>
      </c>
      <c r="I697" s="3">
        <v>13.177179856986944</v>
      </c>
      <c r="J697" s="7">
        <v>10.174642774293062</v>
      </c>
    </row>
    <row r="698" ht="14.25" customHeight="1">
      <c r="A698" s="3" t="s">
        <v>24</v>
      </c>
      <c r="B698" s="6" t="s">
        <v>38</v>
      </c>
      <c r="C698" s="3" t="s">
        <v>40</v>
      </c>
      <c r="D698" s="3" t="s">
        <v>13</v>
      </c>
      <c r="E698" s="3" t="s">
        <v>14</v>
      </c>
      <c r="F698" s="3">
        <v>110.0</v>
      </c>
      <c r="G698" s="4" t="s">
        <v>20</v>
      </c>
      <c r="H698" s="3">
        <v>13.284677504844854</v>
      </c>
      <c r="I698" s="3">
        <v>9.253069636861428</v>
      </c>
      <c r="J698" s="7">
        <v>7.144675806394431</v>
      </c>
    </row>
    <row r="699" ht="14.25" customHeight="1">
      <c r="A699" s="3" t="s">
        <v>24</v>
      </c>
      <c r="B699" s="6" t="s">
        <v>38</v>
      </c>
      <c r="C699" s="3" t="s">
        <v>40</v>
      </c>
      <c r="D699" s="3" t="s">
        <v>13</v>
      </c>
      <c r="E699" s="3" t="s">
        <v>14</v>
      </c>
      <c r="F699" s="3">
        <v>110.0</v>
      </c>
      <c r="G699" s="4" t="s">
        <v>21</v>
      </c>
      <c r="H699" s="3">
        <v>12.949439121084625</v>
      </c>
      <c r="I699" s="3">
        <v>8.273543261947584</v>
      </c>
      <c r="J699" s="7">
        <v>6.388343187358184</v>
      </c>
    </row>
    <row r="700" ht="14.25" customHeight="1">
      <c r="A700" s="3" t="s">
        <v>24</v>
      </c>
      <c r="B700" s="6" t="s">
        <v>38</v>
      </c>
      <c r="C700" s="3" t="s">
        <v>40</v>
      </c>
      <c r="D700" s="3" t="s">
        <v>13</v>
      </c>
      <c r="E700" s="3" t="s">
        <v>14</v>
      </c>
      <c r="F700" s="3">
        <v>110.0</v>
      </c>
      <c r="G700" s="4" t="s">
        <v>22</v>
      </c>
      <c r="H700" s="3">
        <v>10.065587414794528</v>
      </c>
      <c r="I700" s="3">
        <v>6.545838366967951</v>
      </c>
      <c r="J700" s="7">
        <v>5.054311147376999</v>
      </c>
    </row>
    <row r="701" ht="14.25" customHeight="1">
      <c r="A701" s="3" t="s">
        <v>25</v>
      </c>
      <c r="B701" s="6" t="s">
        <v>38</v>
      </c>
      <c r="C701" s="3" t="s">
        <v>40</v>
      </c>
      <c r="D701" s="3" t="s">
        <v>13</v>
      </c>
      <c r="E701" s="3" t="s">
        <v>14</v>
      </c>
      <c r="F701" s="3">
        <v>110.0</v>
      </c>
      <c r="G701" s="4" t="s">
        <v>15</v>
      </c>
      <c r="H701" s="3">
        <v>13.021892367106343</v>
      </c>
      <c r="I701" s="3">
        <v>9.008769241401247</v>
      </c>
      <c r="J701" s="7">
        <v>6.956041418733107</v>
      </c>
    </row>
    <row r="702" ht="14.25" customHeight="1">
      <c r="A702" s="3" t="s">
        <v>25</v>
      </c>
      <c r="B702" s="6" t="s">
        <v>38</v>
      </c>
      <c r="C702" s="3" t="s">
        <v>40</v>
      </c>
      <c r="D702" s="3" t="s">
        <v>13</v>
      </c>
      <c r="E702" s="3" t="s">
        <v>14</v>
      </c>
      <c r="F702" s="3">
        <v>110.0</v>
      </c>
      <c r="G702" s="4" t="s">
        <v>16</v>
      </c>
      <c r="H702" s="3">
        <v>19.62251482107902</v>
      </c>
      <c r="I702" s="3">
        <v>13.432076525702069</v>
      </c>
      <c r="J702" s="7">
        <v>10.371458980543641</v>
      </c>
    </row>
    <row r="703" ht="14.25" customHeight="1">
      <c r="A703" s="3" t="s">
        <v>25</v>
      </c>
      <c r="B703" s="6" t="s">
        <v>38</v>
      </c>
      <c r="C703" s="3" t="s">
        <v>40</v>
      </c>
      <c r="D703" s="3" t="s">
        <v>13</v>
      </c>
      <c r="E703" s="3" t="s">
        <v>14</v>
      </c>
      <c r="F703" s="3">
        <v>110.0</v>
      </c>
      <c r="G703" s="4" t="s">
        <v>17</v>
      </c>
      <c r="H703" s="3">
        <v>18.7706328058496</v>
      </c>
      <c r="I703" s="3">
        <v>13.814384380293859</v>
      </c>
      <c r="J703" s="7">
        <v>10.666654606048846</v>
      </c>
    </row>
    <row r="704" ht="14.25" customHeight="1">
      <c r="A704" s="3" t="s">
        <v>25</v>
      </c>
      <c r="B704" s="6" t="s">
        <v>38</v>
      </c>
      <c r="C704" s="3" t="s">
        <v>40</v>
      </c>
      <c r="D704" s="3" t="s">
        <v>13</v>
      </c>
      <c r="E704" s="3" t="s">
        <v>14</v>
      </c>
      <c r="F704" s="3">
        <v>110.0</v>
      </c>
      <c r="G704" s="4" t="s">
        <v>18</v>
      </c>
      <c r="H704" s="3">
        <v>16.374878272953847</v>
      </c>
      <c r="I704" s="3">
        <v>11.090400344711973</v>
      </c>
      <c r="J704" s="7">
        <v>8.563354447310612</v>
      </c>
    </row>
    <row r="705" ht="14.25" customHeight="1">
      <c r="A705" s="3" t="s">
        <v>25</v>
      </c>
      <c r="B705" s="6" t="s">
        <v>38</v>
      </c>
      <c r="C705" s="3" t="s">
        <v>40</v>
      </c>
      <c r="D705" s="3" t="s">
        <v>13</v>
      </c>
      <c r="E705" s="3" t="s">
        <v>14</v>
      </c>
      <c r="F705" s="3">
        <v>110.0</v>
      </c>
      <c r="G705" s="4" t="s">
        <v>19</v>
      </c>
      <c r="H705" s="3">
        <v>17.198731258891552</v>
      </c>
      <c r="I705" s="3">
        <v>11.654413491890637</v>
      </c>
      <c r="J705" s="7">
        <v>8.998852205922814</v>
      </c>
    </row>
    <row r="706" ht="14.25" customHeight="1">
      <c r="A706" s="3" t="s">
        <v>25</v>
      </c>
      <c r="B706" s="6" t="s">
        <v>38</v>
      </c>
      <c r="C706" s="3" t="s">
        <v>40</v>
      </c>
      <c r="D706" s="3" t="s">
        <v>13</v>
      </c>
      <c r="E706" s="3" t="s">
        <v>14</v>
      </c>
      <c r="F706" s="3">
        <v>110.0</v>
      </c>
      <c r="G706" s="4" t="s">
        <v>20</v>
      </c>
      <c r="H706" s="3">
        <v>12.470253233241344</v>
      </c>
      <c r="I706" s="3">
        <v>8.406722180082438</v>
      </c>
      <c r="J706" s="7">
        <v>6.4911761100165535</v>
      </c>
    </row>
    <row r="707" ht="14.25" customHeight="1">
      <c r="A707" s="3" t="s">
        <v>25</v>
      </c>
      <c r="B707" s="6" t="s">
        <v>38</v>
      </c>
      <c r="C707" s="3" t="s">
        <v>40</v>
      </c>
      <c r="D707" s="3" t="s">
        <v>13</v>
      </c>
      <c r="E707" s="3" t="s">
        <v>14</v>
      </c>
      <c r="F707" s="3">
        <v>110.0</v>
      </c>
      <c r="G707" s="4" t="s">
        <v>21</v>
      </c>
      <c r="H707" s="3">
        <v>11.938331842439467</v>
      </c>
      <c r="I707" s="3">
        <v>7.588027167756842</v>
      </c>
      <c r="J707" s="7">
        <v>5.859028003827381</v>
      </c>
    </row>
    <row r="708" ht="14.25" customHeight="1">
      <c r="A708" s="3" t="s">
        <v>25</v>
      </c>
      <c r="B708" s="6" t="s">
        <v>38</v>
      </c>
      <c r="C708" s="3" t="s">
        <v>40</v>
      </c>
      <c r="D708" s="3" t="s">
        <v>13</v>
      </c>
      <c r="E708" s="3" t="s">
        <v>14</v>
      </c>
      <c r="F708" s="3">
        <v>110.0</v>
      </c>
      <c r="G708" s="4" t="s">
        <v>22</v>
      </c>
      <c r="H708" s="3">
        <v>9.582184297266844</v>
      </c>
      <c r="I708" s="3">
        <v>6.9720555695863125</v>
      </c>
      <c r="J708" s="7">
        <v>5.3834109872491025</v>
      </c>
    </row>
    <row r="709" ht="14.25" customHeight="1">
      <c r="A709" s="3" t="s">
        <v>26</v>
      </c>
      <c r="B709" s="6" t="s">
        <v>38</v>
      </c>
      <c r="C709" s="3" t="s">
        <v>40</v>
      </c>
      <c r="D709" s="3" t="s">
        <v>13</v>
      </c>
      <c r="E709" s="3" t="s">
        <v>14</v>
      </c>
      <c r="F709" s="3">
        <v>110.0</v>
      </c>
      <c r="G709" s="4" t="s">
        <v>15</v>
      </c>
      <c r="H709" s="3">
        <v>57.68757322343078</v>
      </c>
      <c r="I709" s="3">
        <v>39.47072245669737</v>
      </c>
      <c r="J709" s="7">
        <v>30.47696892649013</v>
      </c>
    </row>
    <row r="710" ht="14.25" customHeight="1">
      <c r="A710" s="3" t="s">
        <v>26</v>
      </c>
      <c r="B710" s="6" t="s">
        <v>38</v>
      </c>
      <c r="C710" s="3" t="s">
        <v>40</v>
      </c>
      <c r="D710" s="3" t="s">
        <v>13</v>
      </c>
      <c r="E710" s="3" t="s">
        <v>14</v>
      </c>
      <c r="F710" s="3">
        <v>110.0</v>
      </c>
      <c r="G710" s="4" t="s">
        <v>16</v>
      </c>
      <c r="H710" s="3">
        <v>55.28976835972381</v>
      </c>
      <c r="I710" s="3">
        <v>33.2034138346297</v>
      </c>
      <c r="J710" s="7">
        <v>25.637722055925952</v>
      </c>
    </row>
    <row r="711" ht="14.25" customHeight="1">
      <c r="A711" s="3" t="s">
        <v>26</v>
      </c>
      <c r="B711" s="6" t="s">
        <v>38</v>
      </c>
      <c r="C711" s="3" t="s">
        <v>40</v>
      </c>
      <c r="D711" s="3" t="s">
        <v>13</v>
      </c>
      <c r="E711" s="3" t="s">
        <v>14</v>
      </c>
      <c r="F711" s="3">
        <v>110.0</v>
      </c>
      <c r="G711" s="4" t="s">
        <v>17</v>
      </c>
      <c r="H711" s="3">
        <v>51.46007458873964</v>
      </c>
      <c r="I711" s="3">
        <v>37.68820835103248</v>
      </c>
      <c r="J711" s="7">
        <v>29.10061643968225</v>
      </c>
    </row>
    <row r="712" ht="14.25" customHeight="1">
      <c r="A712" s="3" t="s">
        <v>26</v>
      </c>
      <c r="B712" s="6" t="s">
        <v>38</v>
      </c>
      <c r="C712" s="3" t="s">
        <v>40</v>
      </c>
      <c r="D712" s="3" t="s">
        <v>13</v>
      </c>
      <c r="E712" s="3" t="s">
        <v>14</v>
      </c>
      <c r="F712" s="3">
        <v>110.0</v>
      </c>
      <c r="G712" s="4" t="s">
        <v>18</v>
      </c>
      <c r="H712" s="3">
        <v>46.017952820116506</v>
      </c>
      <c r="I712" s="3">
        <v>32.16488833756265</v>
      </c>
      <c r="J712" s="7">
        <v>24.835833787014632</v>
      </c>
    </row>
    <row r="713" ht="14.25" customHeight="1">
      <c r="A713" s="3" t="s">
        <v>26</v>
      </c>
      <c r="B713" s="6" t="s">
        <v>38</v>
      </c>
      <c r="C713" s="3" t="s">
        <v>40</v>
      </c>
      <c r="D713" s="3" t="s">
        <v>13</v>
      </c>
      <c r="E713" s="3" t="s">
        <v>14</v>
      </c>
      <c r="F713" s="3">
        <v>110.0</v>
      </c>
      <c r="G713" s="4" t="s">
        <v>19</v>
      </c>
      <c r="H713" s="3">
        <v>44.961129229893864</v>
      </c>
      <c r="I713" s="3">
        <v>27.838898851753697</v>
      </c>
      <c r="J713" s="7">
        <v>21.495559301794223</v>
      </c>
    </row>
    <row r="714" ht="14.25" customHeight="1">
      <c r="A714" s="3" t="s">
        <v>26</v>
      </c>
      <c r="B714" s="6" t="s">
        <v>38</v>
      </c>
      <c r="C714" s="3" t="s">
        <v>40</v>
      </c>
      <c r="D714" s="3" t="s">
        <v>13</v>
      </c>
      <c r="E714" s="3" t="s">
        <v>14</v>
      </c>
      <c r="F714" s="3">
        <v>110.0</v>
      </c>
      <c r="G714" s="4" t="s">
        <v>20</v>
      </c>
      <c r="H714" s="3">
        <v>42.17278799800832</v>
      </c>
      <c r="I714" s="3">
        <v>29.101376620417206</v>
      </c>
      <c r="J714" s="7">
        <v>22.470370334659258</v>
      </c>
    </row>
    <row r="715" ht="14.25" customHeight="1">
      <c r="A715" s="3" t="s">
        <v>26</v>
      </c>
      <c r="B715" s="6" t="s">
        <v>38</v>
      </c>
      <c r="C715" s="3" t="s">
        <v>40</v>
      </c>
      <c r="D715" s="3" t="s">
        <v>13</v>
      </c>
      <c r="E715" s="3" t="s">
        <v>14</v>
      </c>
      <c r="F715" s="3">
        <v>110.0</v>
      </c>
      <c r="G715" s="4" t="s">
        <v>21</v>
      </c>
      <c r="H715" s="3">
        <v>38.533407594411116</v>
      </c>
      <c r="I715" s="3">
        <v>25.43629595565172</v>
      </c>
      <c r="J715" s="7">
        <v>19.640410744847284</v>
      </c>
    </row>
    <row r="716" ht="14.25" customHeight="1">
      <c r="A716" s="3" t="s">
        <v>26</v>
      </c>
      <c r="B716" s="6" t="s">
        <v>38</v>
      </c>
      <c r="C716" s="3" t="s">
        <v>40</v>
      </c>
      <c r="D716" s="3" t="s">
        <v>13</v>
      </c>
      <c r="E716" s="3" t="s">
        <v>14</v>
      </c>
      <c r="F716" s="3">
        <v>110.0</v>
      </c>
      <c r="G716" s="4" t="s">
        <v>22</v>
      </c>
      <c r="H716" s="3">
        <v>34.97948168882406</v>
      </c>
      <c r="I716" s="3">
        <v>25.725304106068638</v>
      </c>
      <c r="J716" s="7">
        <v>19.86356582971866</v>
      </c>
    </row>
    <row r="717" ht="14.25" customHeight="1">
      <c r="A717" s="3" t="s">
        <v>10</v>
      </c>
      <c r="B717" s="6" t="s">
        <v>38</v>
      </c>
      <c r="C717" s="3" t="s">
        <v>39</v>
      </c>
      <c r="D717" s="3" t="s">
        <v>13</v>
      </c>
      <c r="E717" s="3" t="s">
        <v>14</v>
      </c>
      <c r="F717" s="3">
        <v>170.0</v>
      </c>
      <c r="G717" s="4" t="s">
        <v>15</v>
      </c>
      <c r="H717" s="3">
        <v>24.755348968786024</v>
      </c>
      <c r="I717" s="3">
        <v>18.528919796517016</v>
      </c>
      <c r="J717" s="7">
        <v>11.86382366277181</v>
      </c>
    </row>
    <row r="718" ht="14.25" customHeight="1">
      <c r="A718" s="3" t="s">
        <v>10</v>
      </c>
      <c r="B718" s="6" t="s">
        <v>38</v>
      </c>
      <c r="C718" s="3" t="s">
        <v>39</v>
      </c>
      <c r="D718" s="3" t="s">
        <v>13</v>
      </c>
      <c r="E718" s="3" t="s">
        <v>14</v>
      </c>
      <c r="F718" s="3">
        <v>170.0</v>
      </c>
      <c r="G718" s="4" t="s">
        <v>16</v>
      </c>
      <c r="H718" s="3">
        <v>21.742090367435168</v>
      </c>
      <c r="I718" s="3">
        <v>15.296769345859161</v>
      </c>
      <c r="J718" s="7">
        <v>9.794320236815958</v>
      </c>
    </row>
    <row r="719" ht="14.25" customHeight="1">
      <c r="A719" s="3" t="s">
        <v>10</v>
      </c>
      <c r="B719" s="6" t="s">
        <v>38</v>
      </c>
      <c r="C719" s="3" t="s">
        <v>39</v>
      </c>
      <c r="D719" s="3" t="s">
        <v>13</v>
      </c>
      <c r="E719" s="3" t="s">
        <v>14</v>
      </c>
      <c r="F719" s="3">
        <v>170.0</v>
      </c>
      <c r="G719" s="4" t="s">
        <v>17</v>
      </c>
      <c r="H719" s="3">
        <v>24.20878995321081</v>
      </c>
      <c r="I719" s="3">
        <v>15.197884114854244</v>
      </c>
      <c r="J719" s="7">
        <v>9.73100532389182</v>
      </c>
    </row>
    <row r="720" ht="14.25" customHeight="1">
      <c r="A720" s="3" t="s">
        <v>10</v>
      </c>
      <c r="B720" s="6" t="s">
        <v>38</v>
      </c>
      <c r="C720" s="3" t="s">
        <v>39</v>
      </c>
      <c r="D720" s="3" t="s">
        <v>13</v>
      </c>
      <c r="E720" s="3" t="s">
        <v>14</v>
      </c>
      <c r="F720" s="3">
        <v>170.0</v>
      </c>
      <c r="G720" s="4" t="s">
        <v>18</v>
      </c>
      <c r="H720" s="3">
        <v>26.150978993231888</v>
      </c>
      <c r="I720" s="3">
        <v>16.115244173402726</v>
      </c>
      <c r="J720" s="7">
        <v>10.318378904727062</v>
      </c>
    </row>
    <row r="721" ht="14.25" customHeight="1">
      <c r="A721" s="3" t="s">
        <v>10</v>
      </c>
      <c r="B721" s="6" t="s">
        <v>38</v>
      </c>
      <c r="C721" s="3" t="s">
        <v>39</v>
      </c>
      <c r="D721" s="3" t="s">
        <v>13</v>
      </c>
      <c r="E721" s="3" t="s">
        <v>14</v>
      </c>
      <c r="F721" s="3">
        <v>170.0</v>
      </c>
      <c r="G721" s="4" t="s">
        <v>19</v>
      </c>
      <c r="H721" s="3">
        <v>24.683059562295</v>
      </c>
      <c r="I721" s="3">
        <v>15.620336041101906</v>
      </c>
      <c r="J721" s="7">
        <v>10.001495736395125</v>
      </c>
    </row>
    <row r="722" ht="14.25" customHeight="1">
      <c r="A722" s="3" t="s">
        <v>10</v>
      </c>
      <c r="B722" s="6" t="s">
        <v>38</v>
      </c>
      <c r="C722" s="3" t="s">
        <v>39</v>
      </c>
      <c r="D722" s="3" t="s">
        <v>13</v>
      </c>
      <c r="E722" s="3" t="s">
        <v>14</v>
      </c>
      <c r="F722" s="3">
        <v>170.0</v>
      </c>
      <c r="G722" s="4" t="s">
        <v>20</v>
      </c>
      <c r="H722" s="3">
        <v>21.31633676215796</v>
      </c>
      <c r="I722" s="3">
        <v>15.43431611176257</v>
      </c>
      <c r="J722" s="7">
        <v>9.882389622078737</v>
      </c>
    </row>
    <row r="723" ht="14.25" customHeight="1">
      <c r="A723" s="3" t="s">
        <v>10</v>
      </c>
      <c r="B723" s="6" t="s">
        <v>38</v>
      </c>
      <c r="C723" s="3" t="s">
        <v>39</v>
      </c>
      <c r="D723" s="3" t="s">
        <v>13</v>
      </c>
      <c r="E723" s="3" t="s">
        <v>14</v>
      </c>
      <c r="F723" s="3">
        <v>170.0</v>
      </c>
      <c r="G723" s="4" t="s">
        <v>21</v>
      </c>
      <c r="H723" s="3">
        <v>23.31805721385814</v>
      </c>
      <c r="I723" s="3">
        <v>16.318175597590642</v>
      </c>
      <c r="J723" s="7">
        <v>10.44831322678361</v>
      </c>
    </row>
    <row r="724" ht="14.25" customHeight="1">
      <c r="A724" s="3" t="s">
        <v>10</v>
      </c>
      <c r="B724" s="6" t="s">
        <v>38</v>
      </c>
      <c r="C724" s="3" t="s">
        <v>39</v>
      </c>
      <c r="D724" s="3" t="s">
        <v>13</v>
      </c>
      <c r="E724" s="3" t="s">
        <v>14</v>
      </c>
      <c r="F724" s="3">
        <v>170.0</v>
      </c>
      <c r="G724" s="4" t="s">
        <v>22</v>
      </c>
      <c r="H724" s="3">
        <v>22.004580308868526</v>
      </c>
      <c r="I724" s="3">
        <v>13.857009664457147</v>
      </c>
      <c r="J724" s="7">
        <v>8.87246104780199</v>
      </c>
    </row>
    <row r="725" ht="14.25" customHeight="1">
      <c r="A725" s="3" t="s">
        <v>23</v>
      </c>
      <c r="B725" s="6" t="s">
        <v>38</v>
      </c>
      <c r="C725" s="3" t="s">
        <v>39</v>
      </c>
      <c r="D725" s="3" t="s">
        <v>13</v>
      </c>
      <c r="E725" s="3" t="s">
        <v>14</v>
      </c>
      <c r="F725" s="3">
        <v>170.0</v>
      </c>
      <c r="G725" s="4" t="s">
        <v>15</v>
      </c>
      <c r="H725" s="3">
        <v>143.4514771532584</v>
      </c>
      <c r="I725" s="3">
        <v>100.37176636209588</v>
      </c>
      <c r="J725" s="7">
        <v>64.26672196318087</v>
      </c>
    </row>
    <row r="726" ht="14.25" customHeight="1">
      <c r="A726" s="3" t="s">
        <v>23</v>
      </c>
      <c r="B726" s="6" t="s">
        <v>38</v>
      </c>
      <c r="C726" s="3" t="s">
        <v>39</v>
      </c>
      <c r="D726" s="3" t="s">
        <v>13</v>
      </c>
      <c r="E726" s="3" t="s">
        <v>14</v>
      </c>
      <c r="F726" s="3">
        <v>170.0</v>
      </c>
      <c r="G726" s="4" t="s">
        <v>16</v>
      </c>
      <c r="H726" s="3">
        <v>139.98465233745816</v>
      </c>
      <c r="I726" s="3">
        <v>103.95515343691707</v>
      </c>
      <c r="J726" s="7">
        <v>66.5611175803029</v>
      </c>
    </row>
    <row r="727" ht="14.25" customHeight="1">
      <c r="A727" s="3" t="s">
        <v>23</v>
      </c>
      <c r="B727" s="6" t="s">
        <v>38</v>
      </c>
      <c r="C727" s="3" t="s">
        <v>39</v>
      </c>
      <c r="D727" s="3" t="s">
        <v>13</v>
      </c>
      <c r="E727" s="3" t="s">
        <v>14</v>
      </c>
      <c r="F727" s="3">
        <v>170.0</v>
      </c>
      <c r="G727" s="4" t="s">
        <v>17</v>
      </c>
      <c r="H727" s="3">
        <v>153.5166298471644</v>
      </c>
      <c r="I727" s="3">
        <v>104.77679421552877</v>
      </c>
      <c r="J727" s="7">
        <v>67.08720336504595</v>
      </c>
    </row>
    <row r="728" ht="14.25" customHeight="1">
      <c r="A728" s="3" t="s">
        <v>23</v>
      </c>
      <c r="B728" s="6" t="s">
        <v>38</v>
      </c>
      <c r="C728" s="3" t="s">
        <v>39</v>
      </c>
      <c r="D728" s="3" t="s">
        <v>13</v>
      </c>
      <c r="E728" s="3" t="s">
        <v>14</v>
      </c>
      <c r="F728" s="3">
        <v>170.0</v>
      </c>
      <c r="G728" s="4" t="s">
        <v>18</v>
      </c>
      <c r="H728" s="3">
        <v>138.6941440279566</v>
      </c>
      <c r="I728" s="3">
        <v>100.9196561396912</v>
      </c>
      <c r="J728" s="7">
        <v>64.6175285822072</v>
      </c>
    </row>
    <row r="729" ht="14.25" customHeight="1">
      <c r="A729" s="3" t="s">
        <v>23</v>
      </c>
      <c r="B729" s="6" t="s">
        <v>38</v>
      </c>
      <c r="C729" s="3" t="s">
        <v>39</v>
      </c>
      <c r="D729" s="3" t="s">
        <v>13</v>
      </c>
      <c r="E729" s="3" t="s">
        <v>14</v>
      </c>
      <c r="F729" s="3">
        <v>170.0</v>
      </c>
      <c r="G729" s="4" t="s">
        <v>19</v>
      </c>
      <c r="H729" s="3">
        <v>134.8687668086508</v>
      </c>
      <c r="I729" s="3">
        <v>82.79065602043217</v>
      </c>
      <c r="J729" s="7">
        <v>53.009768229243285</v>
      </c>
    </row>
    <row r="730" ht="14.25" customHeight="1">
      <c r="A730" s="3" t="s">
        <v>23</v>
      </c>
      <c r="B730" s="6" t="s">
        <v>38</v>
      </c>
      <c r="C730" s="3" t="s">
        <v>39</v>
      </c>
      <c r="D730" s="3" t="s">
        <v>13</v>
      </c>
      <c r="E730" s="3" t="s">
        <v>14</v>
      </c>
      <c r="F730" s="3">
        <v>170.0</v>
      </c>
      <c r="G730" s="4" t="s">
        <v>20</v>
      </c>
      <c r="H730" s="3">
        <v>125.03746909803138</v>
      </c>
      <c r="I730" s="3">
        <v>90.69854242712753</v>
      </c>
      <c r="J730" s="7">
        <v>58.07308389494656</v>
      </c>
    </row>
    <row r="731" ht="14.25" customHeight="1">
      <c r="A731" s="3" t="s">
        <v>23</v>
      </c>
      <c r="B731" s="6" t="s">
        <v>38</v>
      </c>
      <c r="C731" s="3" t="s">
        <v>39</v>
      </c>
      <c r="D731" s="3" t="s">
        <v>13</v>
      </c>
      <c r="E731" s="3" t="s">
        <v>14</v>
      </c>
      <c r="F731" s="3">
        <v>170.0</v>
      </c>
      <c r="G731" s="4" t="s">
        <v>21</v>
      </c>
      <c r="H731" s="3">
        <v>121.74564445072889</v>
      </c>
      <c r="I731" s="3">
        <v>84.48486556646678</v>
      </c>
      <c r="J731" s="7">
        <v>54.09454832018618</v>
      </c>
    </row>
    <row r="732" ht="14.25" customHeight="1">
      <c r="A732" s="3" t="s">
        <v>23</v>
      </c>
      <c r="B732" s="6" t="s">
        <v>38</v>
      </c>
      <c r="C732" s="3" t="s">
        <v>39</v>
      </c>
      <c r="D732" s="3" t="s">
        <v>13</v>
      </c>
      <c r="E732" s="3" t="s">
        <v>14</v>
      </c>
      <c r="F732" s="3">
        <v>170.0</v>
      </c>
      <c r="G732" s="4" t="s">
        <v>22</v>
      </c>
      <c r="H732" s="3">
        <v>122.96582573779602</v>
      </c>
      <c r="I732" s="3">
        <v>77.94380951794578</v>
      </c>
      <c r="J732" s="7">
        <v>49.90639615696362</v>
      </c>
    </row>
    <row r="733" ht="14.25" customHeight="1">
      <c r="A733" s="3" t="s">
        <v>24</v>
      </c>
      <c r="B733" s="6" t="s">
        <v>38</v>
      </c>
      <c r="C733" s="3" t="s">
        <v>39</v>
      </c>
      <c r="D733" s="3" t="s">
        <v>13</v>
      </c>
      <c r="E733" s="3" t="s">
        <v>14</v>
      </c>
      <c r="F733" s="3">
        <v>170.0</v>
      </c>
      <c r="G733" s="4" t="s">
        <v>15</v>
      </c>
      <c r="H733" s="3">
        <v>42.84924966558003</v>
      </c>
      <c r="I733" s="3">
        <v>28.156108714616032</v>
      </c>
      <c r="J733" s="7">
        <v>18.02798611513384</v>
      </c>
    </row>
    <row r="734" ht="14.25" customHeight="1">
      <c r="A734" s="3" t="s">
        <v>24</v>
      </c>
      <c r="B734" s="6" t="s">
        <v>38</v>
      </c>
      <c r="C734" s="3" t="s">
        <v>39</v>
      </c>
      <c r="D734" s="3" t="s">
        <v>13</v>
      </c>
      <c r="E734" s="3" t="s">
        <v>14</v>
      </c>
      <c r="F734" s="3">
        <v>170.0</v>
      </c>
      <c r="G734" s="4" t="s">
        <v>16</v>
      </c>
      <c r="H734" s="3">
        <v>38.27789831879527</v>
      </c>
      <c r="I734" s="3">
        <v>26.322666593012354</v>
      </c>
      <c r="J734" s="7">
        <v>16.85405723717016</v>
      </c>
    </row>
    <row r="735" ht="14.25" customHeight="1">
      <c r="A735" s="3" t="s">
        <v>24</v>
      </c>
      <c r="B735" s="6" t="s">
        <v>38</v>
      </c>
      <c r="C735" s="3" t="s">
        <v>39</v>
      </c>
      <c r="D735" s="3" t="s">
        <v>13</v>
      </c>
      <c r="E735" s="3" t="s">
        <v>14</v>
      </c>
      <c r="F735" s="3">
        <v>170.0</v>
      </c>
      <c r="G735" s="4" t="s">
        <v>17</v>
      </c>
      <c r="H735" s="3">
        <v>42.27403198008802</v>
      </c>
      <c r="I735" s="3">
        <v>26.88529996062268</v>
      </c>
      <c r="J735" s="7">
        <v>17.21430398298289</v>
      </c>
    </row>
    <row r="736" ht="14.25" customHeight="1">
      <c r="A736" s="3" t="s">
        <v>24</v>
      </c>
      <c r="B736" s="6" t="s">
        <v>38</v>
      </c>
      <c r="C736" s="3" t="s">
        <v>39</v>
      </c>
      <c r="D736" s="3" t="s">
        <v>13</v>
      </c>
      <c r="E736" s="3" t="s">
        <v>14</v>
      </c>
      <c r="F736" s="3">
        <v>170.0</v>
      </c>
      <c r="G736" s="4" t="s">
        <v>18</v>
      </c>
      <c r="H736" s="3">
        <v>42.108975869252994</v>
      </c>
      <c r="I736" s="3">
        <v>29.53110309196811</v>
      </c>
      <c r="J736" s="7">
        <v>18.908376931725</v>
      </c>
    </row>
    <row r="737" ht="14.25" customHeight="1">
      <c r="A737" s="3" t="s">
        <v>24</v>
      </c>
      <c r="B737" s="6" t="s">
        <v>38</v>
      </c>
      <c r="C737" s="3" t="s">
        <v>39</v>
      </c>
      <c r="D737" s="3" t="s">
        <v>13</v>
      </c>
      <c r="E737" s="3" t="s">
        <v>14</v>
      </c>
      <c r="F737" s="3">
        <v>170.0</v>
      </c>
      <c r="G737" s="4" t="s">
        <v>19</v>
      </c>
      <c r="H737" s="3">
        <v>44.996203498261615</v>
      </c>
      <c r="I737" s="3">
        <v>32.659218277661665</v>
      </c>
      <c r="J737" s="7">
        <v>20.91126794574316</v>
      </c>
    </row>
    <row r="738" ht="14.25" customHeight="1">
      <c r="A738" s="3" t="s">
        <v>24</v>
      </c>
      <c r="B738" s="6" t="s">
        <v>38</v>
      </c>
      <c r="C738" s="3" t="s">
        <v>39</v>
      </c>
      <c r="D738" s="3" t="s">
        <v>13</v>
      </c>
      <c r="E738" s="3" t="s">
        <v>14</v>
      </c>
      <c r="F738" s="3">
        <v>170.0</v>
      </c>
      <c r="G738" s="4" t="s">
        <v>20</v>
      </c>
      <c r="H738" s="3">
        <v>41.98181283701869</v>
      </c>
      <c r="I738" s="3">
        <v>29.735058453865534</v>
      </c>
      <c r="J738" s="7">
        <v>19.038966867630638</v>
      </c>
    </row>
    <row r="739" ht="14.25" customHeight="1">
      <c r="A739" s="3" t="s">
        <v>24</v>
      </c>
      <c r="B739" s="6" t="s">
        <v>38</v>
      </c>
      <c r="C739" s="3" t="s">
        <v>39</v>
      </c>
      <c r="D739" s="3" t="s">
        <v>13</v>
      </c>
      <c r="E739" s="3" t="s">
        <v>14</v>
      </c>
      <c r="F739" s="3">
        <v>170.0</v>
      </c>
      <c r="G739" s="4" t="s">
        <v>21</v>
      </c>
      <c r="H739" s="3">
        <v>39.541174947116346</v>
      </c>
      <c r="I739" s="3">
        <v>23.961322756681856</v>
      </c>
      <c r="J739" s="7">
        <v>15.342119833962002</v>
      </c>
    </row>
    <row r="740" ht="14.25" customHeight="1">
      <c r="A740" s="3" t="s">
        <v>24</v>
      </c>
      <c r="B740" s="6" t="s">
        <v>38</v>
      </c>
      <c r="C740" s="3" t="s">
        <v>39</v>
      </c>
      <c r="D740" s="3" t="s">
        <v>13</v>
      </c>
      <c r="E740" s="3" t="s">
        <v>14</v>
      </c>
      <c r="F740" s="3">
        <v>170.0</v>
      </c>
      <c r="G740" s="4" t="s">
        <v>22</v>
      </c>
      <c r="H740" s="3">
        <v>35.70189781578658</v>
      </c>
      <c r="I740" s="3">
        <v>23.84267558385543</v>
      </c>
      <c r="J740" s="7">
        <v>15.266151609588572</v>
      </c>
    </row>
    <row r="741" ht="14.25" customHeight="1">
      <c r="A741" s="3" t="s">
        <v>25</v>
      </c>
      <c r="B741" s="6" t="s">
        <v>38</v>
      </c>
      <c r="C741" s="3" t="s">
        <v>39</v>
      </c>
      <c r="D741" s="3" t="s">
        <v>13</v>
      </c>
      <c r="E741" s="3" t="s">
        <v>14</v>
      </c>
      <c r="F741" s="3">
        <v>170.0</v>
      </c>
      <c r="G741" s="4" t="s">
        <v>15</v>
      </c>
      <c r="H741" s="3">
        <v>55.51479690341817</v>
      </c>
      <c r="I741" s="3">
        <v>39.23016477309536</v>
      </c>
      <c r="J741" s="7">
        <v>25.118558569019953</v>
      </c>
    </row>
    <row r="742" ht="14.25" customHeight="1">
      <c r="A742" s="3" t="s">
        <v>25</v>
      </c>
      <c r="B742" s="6" t="s">
        <v>38</v>
      </c>
      <c r="C742" s="3" t="s">
        <v>39</v>
      </c>
      <c r="D742" s="3" t="s">
        <v>13</v>
      </c>
      <c r="E742" s="3" t="s">
        <v>14</v>
      </c>
      <c r="F742" s="3">
        <v>170.0</v>
      </c>
      <c r="G742" s="4" t="s">
        <v>16</v>
      </c>
      <c r="H742" s="3">
        <v>55.60939162226772</v>
      </c>
      <c r="I742" s="3">
        <v>35.46642433039257</v>
      </c>
      <c r="J742" s="7">
        <v>22.70868506235918</v>
      </c>
    </row>
    <row r="743" ht="14.25" customHeight="1">
      <c r="A743" s="3" t="s">
        <v>25</v>
      </c>
      <c r="B743" s="6" t="s">
        <v>38</v>
      </c>
      <c r="C743" s="3" t="s">
        <v>39</v>
      </c>
      <c r="D743" s="3" t="s">
        <v>13</v>
      </c>
      <c r="E743" s="3" t="s">
        <v>14</v>
      </c>
      <c r="F743" s="3">
        <v>170.0</v>
      </c>
      <c r="G743" s="4" t="s">
        <v>17</v>
      </c>
      <c r="H743" s="3">
        <v>62.789211967578275</v>
      </c>
      <c r="I743" s="3">
        <v>45.86876267286881</v>
      </c>
      <c r="J743" s="7">
        <v>29.369165496778596</v>
      </c>
    </row>
    <row r="744" ht="14.25" customHeight="1">
      <c r="A744" s="3" t="s">
        <v>25</v>
      </c>
      <c r="B744" s="6" t="s">
        <v>38</v>
      </c>
      <c r="C744" s="3" t="s">
        <v>39</v>
      </c>
      <c r="D744" s="3" t="s">
        <v>13</v>
      </c>
      <c r="E744" s="3" t="s">
        <v>14</v>
      </c>
      <c r="F744" s="3">
        <v>170.0</v>
      </c>
      <c r="G744" s="4" t="s">
        <v>18</v>
      </c>
      <c r="H744" s="3">
        <v>53.032454963578665</v>
      </c>
      <c r="I744" s="3">
        <v>34.97764403181801</v>
      </c>
      <c r="J744" s="7">
        <v>22.395725465372013</v>
      </c>
    </row>
    <row r="745" ht="14.25" customHeight="1">
      <c r="A745" s="3" t="s">
        <v>25</v>
      </c>
      <c r="B745" s="6" t="s">
        <v>38</v>
      </c>
      <c r="C745" s="3" t="s">
        <v>39</v>
      </c>
      <c r="D745" s="3" t="s">
        <v>13</v>
      </c>
      <c r="E745" s="3" t="s">
        <v>14</v>
      </c>
      <c r="F745" s="3">
        <v>170.0</v>
      </c>
      <c r="G745" s="4" t="s">
        <v>19</v>
      </c>
      <c r="H745" s="3">
        <v>50.26434907438719</v>
      </c>
      <c r="I745" s="3">
        <v>32.241100814791814</v>
      </c>
      <c r="J745" s="7">
        <v>20.643552833136006</v>
      </c>
    </row>
    <row r="746" ht="14.25" customHeight="1">
      <c r="A746" s="3" t="s">
        <v>25</v>
      </c>
      <c r="B746" s="6" t="s">
        <v>38</v>
      </c>
      <c r="C746" s="3" t="s">
        <v>39</v>
      </c>
      <c r="D746" s="3" t="s">
        <v>13</v>
      </c>
      <c r="E746" s="3" t="s">
        <v>14</v>
      </c>
      <c r="F746" s="3">
        <v>170.0</v>
      </c>
      <c r="G746" s="4" t="s">
        <v>20</v>
      </c>
      <c r="H746" s="3">
        <v>48.925074679374426</v>
      </c>
      <c r="I746" s="3">
        <v>36.22885467802682</v>
      </c>
      <c r="J746" s="7">
        <v>23.196859186852876</v>
      </c>
    </row>
    <row r="747" ht="14.25" customHeight="1">
      <c r="A747" s="3" t="s">
        <v>25</v>
      </c>
      <c r="B747" s="6" t="s">
        <v>38</v>
      </c>
      <c r="C747" s="3" t="s">
        <v>39</v>
      </c>
      <c r="D747" s="3" t="s">
        <v>13</v>
      </c>
      <c r="E747" s="3" t="s">
        <v>14</v>
      </c>
      <c r="F747" s="3">
        <v>170.0</v>
      </c>
      <c r="G747" s="4" t="s">
        <v>21</v>
      </c>
      <c r="H747" s="3">
        <v>48.14907132420701</v>
      </c>
      <c r="I747" s="3">
        <v>34.89715890374227</v>
      </c>
      <c r="J747" s="7">
        <v>22.344191896364624</v>
      </c>
    </row>
    <row r="748" ht="14.25" customHeight="1">
      <c r="A748" s="3" t="s">
        <v>25</v>
      </c>
      <c r="B748" s="6" t="s">
        <v>38</v>
      </c>
      <c r="C748" s="3" t="s">
        <v>39</v>
      </c>
      <c r="D748" s="3" t="s">
        <v>13</v>
      </c>
      <c r="E748" s="3" t="s">
        <v>14</v>
      </c>
      <c r="F748" s="3">
        <v>170.0</v>
      </c>
      <c r="G748" s="4" t="s">
        <v>22</v>
      </c>
      <c r="H748" s="3">
        <v>48.768668431918826</v>
      </c>
      <c r="I748" s="3">
        <v>30.502540100480136</v>
      </c>
      <c r="J748" s="7">
        <v>19.530375272429335</v>
      </c>
    </row>
    <row r="749" ht="14.25" customHeight="1">
      <c r="A749" s="3" t="s">
        <v>26</v>
      </c>
      <c r="B749" s="6" t="s">
        <v>38</v>
      </c>
      <c r="C749" s="3" t="s">
        <v>39</v>
      </c>
      <c r="D749" s="3" t="s">
        <v>13</v>
      </c>
      <c r="E749" s="3" t="s">
        <v>14</v>
      </c>
      <c r="F749" s="3">
        <v>170.0</v>
      </c>
      <c r="G749" s="4" t="s">
        <v>15</v>
      </c>
      <c r="H749" s="3">
        <v>44.57436219260806</v>
      </c>
      <c r="I749" s="3">
        <v>31.058431842587165</v>
      </c>
      <c r="J749" s="7">
        <v>19.88630544409474</v>
      </c>
    </row>
    <row r="750" ht="14.25" customHeight="1">
      <c r="A750" s="3" t="s">
        <v>26</v>
      </c>
      <c r="B750" s="6" t="s">
        <v>38</v>
      </c>
      <c r="C750" s="3" t="s">
        <v>39</v>
      </c>
      <c r="D750" s="3" t="s">
        <v>13</v>
      </c>
      <c r="E750" s="3" t="s">
        <v>14</v>
      </c>
      <c r="F750" s="3">
        <v>170.0</v>
      </c>
      <c r="G750" s="4" t="s">
        <v>16</v>
      </c>
      <c r="H750" s="3">
        <v>46.42323295773365</v>
      </c>
      <c r="I750" s="3">
        <v>28.257179037009347</v>
      </c>
      <c r="J750" s="7">
        <v>18.092700113336758</v>
      </c>
    </row>
    <row r="751" ht="14.25" customHeight="1">
      <c r="A751" s="3" t="s">
        <v>26</v>
      </c>
      <c r="B751" s="6" t="s">
        <v>38</v>
      </c>
      <c r="C751" s="3" t="s">
        <v>39</v>
      </c>
      <c r="D751" s="3" t="s">
        <v>13</v>
      </c>
      <c r="E751" s="3" t="s">
        <v>14</v>
      </c>
      <c r="F751" s="3">
        <v>170.0</v>
      </c>
      <c r="G751" s="4" t="s">
        <v>17</v>
      </c>
      <c r="H751" s="3">
        <v>48.69531668101522</v>
      </c>
      <c r="I751" s="3">
        <v>33.103096024079946</v>
      </c>
      <c r="J751" s="7">
        <v>21.195477029120212</v>
      </c>
    </row>
    <row r="752" ht="14.25" customHeight="1">
      <c r="A752" s="3" t="s">
        <v>26</v>
      </c>
      <c r="B752" s="6" t="s">
        <v>38</v>
      </c>
      <c r="C752" s="3" t="s">
        <v>39</v>
      </c>
      <c r="D752" s="3" t="s">
        <v>13</v>
      </c>
      <c r="E752" s="3" t="s">
        <v>14</v>
      </c>
      <c r="F752" s="3">
        <v>170.0</v>
      </c>
      <c r="G752" s="4" t="s">
        <v>18</v>
      </c>
      <c r="H752" s="3">
        <v>44.22736332728754</v>
      </c>
      <c r="I752" s="3">
        <v>31.512789727988327</v>
      </c>
      <c r="J752" s="7">
        <v>20.177224822633068</v>
      </c>
    </row>
    <row r="753" ht="14.25" customHeight="1">
      <c r="A753" s="3" t="s">
        <v>26</v>
      </c>
      <c r="B753" s="6" t="s">
        <v>38</v>
      </c>
      <c r="C753" s="3" t="s">
        <v>39</v>
      </c>
      <c r="D753" s="3" t="s">
        <v>13</v>
      </c>
      <c r="E753" s="3" t="s">
        <v>14</v>
      </c>
      <c r="F753" s="3">
        <v>170.0</v>
      </c>
      <c r="G753" s="4" t="s">
        <v>19</v>
      </c>
      <c r="H753" s="3">
        <v>41.01142626180077</v>
      </c>
      <c r="I753" s="3">
        <v>27.01954141792476</v>
      </c>
      <c r="J753" s="7">
        <v>17.300257022617977</v>
      </c>
    </row>
    <row r="754" ht="14.25" customHeight="1">
      <c r="A754" s="3" t="s">
        <v>26</v>
      </c>
      <c r="B754" s="6" t="s">
        <v>38</v>
      </c>
      <c r="C754" s="3" t="s">
        <v>39</v>
      </c>
      <c r="D754" s="3" t="s">
        <v>13</v>
      </c>
      <c r="E754" s="3" t="s">
        <v>14</v>
      </c>
      <c r="F754" s="3">
        <v>170.0</v>
      </c>
      <c r="G754" s="4" t="s">
        <v>20</v>
      </c>
      <c r="H754" s="3">
        <v>35.981946224004886</v>
      </c>
      <c r="I754" s="3">
        <v>21.615452295347943</v>
      </c>
      <c r="J754" s="7">
        <v>13.840089829266194</v>
      </c>
    </row>
    <row r="755" ht="14.25" customHeight="1">
      <c r="A755" s="3" t="s">
        <v>26</v>
      </c>
      <c r="B755" s="6" t="s">
        <v>38</v>
      </c>
      <c r="C755" s="3" t="s">
        <v>39</v>
      </c>
      <c r="D755" s="3" t="s">
        <v>13</v>
      </c>
      <c r="E755" s="3" t="s">
        <v>14</v>
      </c>
      <c r="F755" s="3">
        <v>170.0</v>
      </c>
      <c r="G755" s="4" t="s">
        <v>21</v>
      </c>
      <c r="H755" s="3">
        <v>36.124176257027784</v>
      </c>
      <c r="I755" s="3">
        <v>23.629894862922914</v>
      </c>
      <c r="J755" s="7">
        <v>15.129910912359403</v>
      </c>
    </row>
    <row r="756" ht="14.25" customHeight="1">
      <c r="A756" s="3" t="s">
        <v>26</v>
      </c>
      <c r="B756" s="6" t="s">
        <v>38</v>
      </c>
      <c r="C756" s="3" t="s">
        <v>39</v>
      </c>
      <c r="D756" s="3" t="s">
        <v>13</v>
      </c>
      <c r="E756" s="3" t="s">
        <v>14</v>
      </c>
      <c r="F756" s="3">
        <v>170.0</v>
      </c>
      <c r="G756" s="4" t="s">
        <v>22</v>
      </c>
      <c r="H756" s="3">
        <v>40.21054288094002</v>
      </c>
      <c r="I756" s="3">
        <v>28.334586575657802</v>
      </c>
      <c r="J756" s="7">
        <v>18.142263142308746</v>
      </c>
    </row>
    <row r="757" ht="14.25" customHeight="1">
      <c r="A757" s="3" t="s">
        <v>10</v>
      </c>
      <c r="B757" s="6" t="s">
        <v>38</v>
      </c>
      <c r="C757" s="3" t="s">
        <v>40</v>
      </c>
      <c r="D757" s="3" t="s">
        <v>31</v>
      </c>
      <c r="E757" s="3" t="s">
        <v>14</v>
      </c>
      <c r="F757" s="3">
        <v>180.0</v>
      </c>
      <c r="G757" s="4" t="s">
        <v>15</v>
      </c>
      <c r="H757" s="3">
        <v>16.776861119717623</v>
      </c>
      <c r="I757" s="3">
        <v>11.405977483168408</v>
      </c>
      <c r="J757" s="7">
        <v>5.204644071717276</v>
      </c>
    </row>
    <row r="758" ht="14.25" customHeight="1">
      <c r="A758" s="3" t="s">
        <v>10</v>
      </c>
      <c r="B758" s="6" t="s">
        <v>38</v>
      </c>
      <c r="C758" s="3" t="s">
        <v>40</v>
      </c>
      <c r="D758" s="3" t="s">
        <v>31</v>
      </c>
      <c r="E758" s="3" t="s">
        <v>14</v>
      </c>
      <c r="F758" s="3">
        <v>180.0</v>
      </c>
      <c r="G758" s="4" t="s">
        <v>16</v>
      </c>
      <c r="H758" s="3">
        <v>19.781912496310767</v>
      </c>
      <c r="I758" s="3">
        <v>12.51875586315713</v>
      </c>
      <c r="J758" s="7">
        <v>5.712414265643226</v>
      </c>
    </row>
    <row r="759" ht="14.25" customHeight="1">
      <c r="A759" s="3" t="s">
        <v>10</v>
      </c>
      <c r="B759" s="6" t="s">
        <v>38</v>
      </c>
      <c r="C759" s="3" t="s">
        <v>40</v>
      </c>
      <c r="D759" s="3" t="s">
        <v>31</v>
      </c>
      <c r="E759" s="3" t="s">
        <v>14</v>
      </c>
      <c r="F759" s="3">
        <v>180.0</v>
      </c>
      <c r="G759" s="4" t="s">
        <v>17</v>
      </c>
      <c r="H759" s="3">
        <v>17.87067466964527</v>
      </c>
      <c r="I759" s="3">
        <v>11.572652538410683</v>
      </c>
      <c r="J759" s="7">
        <v>5.280699310249</v>
      </c>
    </row>
    <row r="760" ht="14.25" customHeight="1">
      <c r="A760" s="3" t="s">
        <v>10</v>
      </c>
      <c r="B760" s="6" t="s">
        <v>38</v>
      </c>
      <c r="C760" s="3" t="s">
        <v>40</v>
      </c>
      <c r="D760" s="3" t="s">
        <v>31</v>
      </c>
      <c r="E760" s="3" t="s">
        <v>14</v>
      </c>
      <c r="F760" s="3">
        <v>180.0</v>
      </c>
      <c r="G760" s="4" t="s">
        <v>18</v>
      </c>
      <c r="H760" s="3">
        <v>15.417940583080977</v>
      </c>
      <c r="I760" s="3">
        <v>9.278846213856458</v>
      </c>
      <c r="J760" s="7">
        <v>4.23401606838077</v>
      </c>
    </row>
    <row r="761" ht="14.25" customHeight="1">
      <c r="A761" s="3" t="s">
        <v>10</v>
      </c>
      <c r="B761" s="6" t="s">
        <v>38</v>
      </c>
      <c r="C761" s="3" t="s">
        <v>40</v>
      </c>
      <c r="D761" s="3" t="s">
        <v>31</v>
      </c>
      <c r="E761" s="3" t="s">
        <v>14</v>
      </c>
      <c r="F761" s="3">
        <v>180.0</v>
      </c>
      <c r="G761" s="4" t="s">
        <v>19</v>
      </c>
      <c r="H761" s="3">
        <v>14.164808661780171</v>
      </c>
      <c r="I761" s="3">
        <v>8.67295482772769</v>
      </c>
      <c r="J761" s="7">
        <v>3.957542700309235</v>
      </c>
    </row>
    <row r="762" ht="14.25" customHeight="1">
      <c r="A762" s="3" t="s">
        <v>10</v>
      </c>
      <c r="B762" s="6" t="s">
        <v>38</v>
      </c>
      <c r="C762" s="3" t="s">
        <v>40</v>
      </c>
      <c r="D762" s="3" t="s">
        <v>31</v>
      </c>
      <c r="E762" s="3" t="s">
        <v>14</v>
      </c>
      <c r="F762" s="3">
        <v>180.0</v>
      </c>
      <c r="G762" s="4" t="s">
        <v>20</v>
      </c>
      <c r="H762" s="3">
        <v>13.026621286278342</v>
      </c>
      <c r="I762" s="3">
        <v>8.401695455672428</v>
      </c>
      <c r="J762" s="7">
        <v>3.833764752759493</v>
      </c>
    </row>
    <row r="763" ht="14.25" customHeight="1">
      <c r="A763" s="3" t="s">
        <v>10</v>
      </c>
      <c r="B763" s="6" t="s">
        <v>38</v>
      </c>
      <c r="C763" s="3" t="s">
        <v>40</v>
      </c>
      <c r="D763" s="3" t="s">
        <v>31</v>
      </c>
      <c r="E763" s="3" t="s">
        <v>14</v>
      </c>
      <c r="F763" s="3">
        <v>180.0</v>
      </c>
      <c r="G763" s="4" t="s">
        <v>21</v>
      </c>
      <c r="H763" s="3">
        <v>12.423009663228896</v>
      </c>
      <c r="I763" s="3">
        <v>8.235128629890543</v>
      </c>
      <c r="J763" s="7">
        <v>3.757758900246654</v>
      </c>
    </row>
    <row r="764" ht="14.25" customHeight="1">
      <c r="A764" s="3" t="s">
        <v>10</v>
      </c>
      <c r="B764" s="6" t="s">
        <v>38</v>
      </c>
      <c r="C764" s="3" t="s">
        <v>40</v>
      </c>
      <c r="D764" s="3" t="s">
        <v>31</v>
      </c>
      <c r="E764" s="3" t="s">
        <v>14</v>
      </c>
      <c r="F764" s="3">
        <v>180.0</v>
      </c>
      <c r="G764" s="4" t="s">
        <v>22</v>
      </c>
      <c r="H764" s="3">
        <v>13.715588239834752</v>
      </c>
      <c r="I764" s="3">
        <v>9.024843056114877</v>
      </c>
      <c r="J764" s="7">
        <v>4.118112277487966</v>
      </c>
    </row>
    <row r="765" ht="14.25" customHeight="1">
      <c r="A765" s="3" t="s">
        <v>23</v>
      </c>
      <c r="B765" s="6" t="s">
        <v>38</v>
      </c>
      <c r="C765" s="3" t="s">
        <v>40</v>
      </c>
      <c r="D765" s="3" t="s">
        <v>31</v>
      </c>
      <c r="E765" s="3" t="s">
        <v>14</v>
      </c>
      <c r="F765" s="3">
        <v>180.0</v>
      </c>
      <c r="G765" s="4" t="s">
        <v>15</v>
      </c>
      <c r="H765" s="3">
        <v>77.09910667484029</v>
      </c>
      <c r="I765" s="3">
        <v>52.0439756600873</v>
      </c>
      <c r="J765" s="7">
        <v>23.748106621075657</v>
      </c>
    </row>
    <row r="766" ht="14.25" customHeight="1">
      <c r="A766" s="3" t="s">
        <v>23</v>
      </c>
      <c r="B766" s="6" t="s">
        <v>38</v>
      </c>
      <c r="C766" s="3" t="s">
        <v>40</v>
      </c>
      <c r="D766" s="3" t="s">
        <v>31</v>
      </c>
      <c r="E766" s="3" t="s">
        <v>14</v>
      </c>
      <c r="F766" s="3">
        <v>180.0</v>
      </c>
      <c r="G766" s="4" t="s">
        <v>16</v>
      </c>
      <c r="H766" s="3">
        <v>83.96590081083092</v>
      </c>
      <c r="I766" s="3">
        <v>56.02766295555784</v>
      </c>
      <c r="J766" s="7">
        <v>25.565896854007683</v>
      </c>
    </row>
    <row r="767" ht="14.25" customHeight="1">
      <c r="A767" s="3" t="s">
        <v>23</v>
      </c>
      <c r="B767" s="6" t="s">
        <v>38</v>
      </c>
      <c r="C767" s="3" t="s">
        <v>40</v>
      </c>
      <c r="D767" s="3" t="s">
        <v>31</v>
      </c>
      <c r="E767" s="3" t="s">
        <v>14</v>
      </c>
      <c r="F767" s="3">
        <v>180.0</v>
      </c>
      <c r="G767" s="4" t="s">
        <v>17</v>
      </c>
      <c r="H767" s="3">
        <v>83.35738086373136</v>
      </c>
      <c r="I767" s="3">
        <v>51.28045799604174</v>
      </c>
      <c r="J767" s="7">
        <v>23.39970704815959</v>
      </c>
    </row>
    <row r="768" ht="14.25" customHeight="1">
      <c r="A768" s="3" t="s">
        <v>23</v>
      </c>
      <c r="B768" s="6" t="s">
        <v>38</v>
      </c>
      <c r="C768" s="3" t="s">
        <v>40</v>
      </c>
      <c r="D768" s="3" t="s">
        <v>31</v>
      </c>
      <c r="E768" s="3" t="s">
        <v>14</v>
      </c>
      <c r="F768" s="3">
        <v>180.0</v>
      </c>
      <c r="G768" s="4" t="s">
        <v>18</v>
      </c>
      <c r="H768" s="3">
        <v>81.58237381647183</v>
      </c>
      <c r="I768" s="3">
        <v>51.23536325143573</v>
      </c>
      <c r="J768" s="7">
        <v>23.379129934490408</v>
      </c>
    </row>
    <row r="769" ht="14.25" customHeight="1">
      <c r="A769" s="3" t="s">
        <v>23</v>
      </c>
      <c r="B769" s="6" t="s">
        <v>38</v>
      </c>
      <c r="C769" s="3" t="s">
        <v>40</v>
      </c>
      <c r="D769" s="3" t="s">
        <v>31</v>
      </c>
      <c r="E769" s="3" t="s">
        <v>14</v>
      </c>
      <c r="F769" s="3">
        <v>180.0</v>
      </c>
      <c r="G769" s="4" t="s">
        <v>19</v>
      </c>
      <c r="H769" s="3">
        <v>70.44574877571802</v>
      </c>
      <c r="I769" s="3">
        <v>49.929603588163396</v>
      </c>
      <c r="J769" s="7">
        <v>22.783300747507823</v>
      </c>
    </row>
    <row r="770" ht="14.25" customHeight="1">
      <c r="A770" s="3" t="s">
        <v>23</v>
      </c>
      <c r="B770" s="6" t="s">
        <v>38</v>
      </c>
      <c r="C770" s="3" t="s">
        <v>40</v>
      </c>
      <c r="D770" s="3" t="s">
        <v>31</v>
      </c>
      <c r="E770" s="3" t="s">
        <v>14</v>
      </c>
      <c r="F770" s="3">
        <v>180.0</v>
      </c>
      <c r="G770" s="4" t="s">
        <v>20</v>
      </c>
      <c r="H770" s="3">
        <v>60.13640237322821</v>
      </c>
      <c r="I770" s="3">
        <v>44.0807216146098</v>
      </c>
      <c r="J770" s="7">
        <v>20.114406394985078</v>
      </c>
    </row>
    <row r="771" ht="14.25" customHeight="1">
      <c r="A771" s="3" t="s">
        <v>23</v>
      </c>
      <c r="B771" s="6" t="s">
        <v>38</v>
      </c>
      <c r="C771" s="3" t="s">
        <v>40</v>
      </c>
      <c r="D771" s="3" t="s">
        <v>31</v>
      </c>
      <c r="E771" s="3" t="s">
        <v>14</v>
      </c>
      <c r="F771" s="3">
        <v>180.0</v>
      </c>
      <c r="G771" s="4" t="s">
        <v>21</v>
      </c>
      <c r="H771" s="3">
        <v>62.77343987490072</v>
      </c>
      <c r="I771" s="3">
        <v>39.54919696786222</v>
      </c>
      <c r="J771" s="7">
        <v>18.046633341484018</v>
      </c>
    </row>
    <row r="772" ht="14.25" customHeight="1">
      <c r="A772" s="3" t="s">
        <v>23</v>
      </c>
      <c r="B772" s="6" t="s">
        <v>38</v>
      </c>
      <c r="C772" s="3" t="s">
        <v>40</v>
      </c>
      <c r="D772" s="3" t="s">
        <v>31</v>
      </c>
      <c r="E772" s="3" t="s">
        <v>14</v>
      </c>
      <c r="F772" s="3">
        <v>180.0</v>
      </c>
      <c r="G772" s="4" t="s">
        <v>22</v>
      </c>
      <c r="H772" s="3">
        <v>54.416161799851345</v>
      </c>
      <c r="I772" s="3">
        <v>37.739829923032225</v>
      </c>
      <c r="J772" s="7">
        <v>17.221003843500903</v>
      </c>
    </row>
    <row r="773" ht="14.25" customHeight="1">
      <c r="A773" s="3" t="s">
        <v>24</v>
      </c>
      <c r="B773" s="6" t="s">
        <v>38</v>
      </c>
      <c r="C773" s="3" t="s">
        <v>40</v>
      </c>
      <c r="D773" s="3" t="s">
        <v>31</v>
      </c>
      <c r="E773" s="3" t="s">
        <v>14</v>
      </c>
      <c r="F773" s="3">
        <v>180.0</v>
      </c>
      <c r="G773" s="4" t="s">
        <v>15</v>
      </c>
      <c r="H773" s="3">
        <v>29.111952217164678</v>
      </c>
      <c r="I773" s="3">
        <v>18.617170105424087</v>
      </c>
      <c r="J773" s="7">
        <v>8.495172304551259</v>
      </c>
    </row>
    <row r="774" ht="14.25" customHeight="1">
      <c r="A774" s="3" t="s">
        <v>24</v>
      </c>
      <c r="B774" s="6" t="s">
        <v>38</v>
      </c>
      <c r="C774" s="3" t="s">
        <v>40</v>
      </c>
      <c r="D774" s="3" t="s">
        <v>31</v>
      </c>
      <c r="E774" s="3" t="s">
        <v>14</v>
      </c>
      <c r="F774" s="3">
        <v>180.0</v>
      </c>
      <c r="G774" s="4" t="s">
        <v>16</v>
      </c>
      <c r="H774" s="3">
        <v>34.795887323603026</v>
      </c>
      <c r="I774" s="3">
        <v>23.223532939897368</v>
      </c>
      <c r="J774" s="7">
        <v>10.59709465658105</v>
      </c>
    </row>
    <row r="775" ht="14.25" customHeight="1">
      <c r="A775" s="3" t="s">
        <v>24</v>
      </c>
      <c r="B775" s="6" t="s">
        <v>38</v>
      </c>
      <c r="C775" s="3" t="s">
        <v>40</v>
      </c>
      <c r="D775" s="3" t="s">
        <v>31</v>
      </c>
      <c r="E775" s="3" t="s">
        <v>14</v>
      </c>
      <c r="F775" s="3">
        <v>180.0</v>
      </c>
      <c r="G775" s="4" t="s">
        <v>17</v>
      </c>
      <c r="H775" s="3">
        <v>34.30182827795797</v>
      </c>
      <c r="I775" s="3">
        <v>21.560089967933216</v>
      </c>
      <c r="J775" s="7">
        <v>9.838051548224147</v>
      </c>
    </row>
    <row r="776" ht="14.25" customHeight="1">
      <c r="A776" s="3" t="s">
        <v>24</v>
      </c>
      <c r="B776" s="6" t="s">
        <v>38</v>
      </c>
      <c r="C776" s="3" t="s">
        <v>40</v>
      </c>
      <c r="D776" s="3" t="s">
        <v>31</v>
      </c>
      <c r="E776" s="3" t="s">
        <v>14</v>
      </c>
      <c r="F776" s="3">
        <v>180.0</v>
      </c>
      <c r="G776" s="4" t="s">
        <v>18</v>
      </c>
      <c r="H776" s="3">
        <v>33.03205715593076</v>
      </c>
      <c r="I776" s="3">
        <v>21.402416975086204</v>
      </c>
      <c r="J776" s="7">
        <v>9.766104026961536</v>
      </c>
    </row>
    <row r="777" ht="14.25" customHeight="1">
      <c r="A777" s="3" t="s">
        <v>24</v>
      </c>
      <c r="B777" s="6" t="s">
        <v>38</v>
      </c>
      <c r="C777" s="3" t="s">
        <v>40</v>
      </c>
      <c r="D777" s="3" t="s">
        <v>31</v>
      </c>
      <c r="E777" s="3" t="s">
        <v>14</v>
      </c>
      <c r="F777" s="3">
        <v>180.0</v>
      </c>
      <c r="G777" s="4" t="s">
        <v>19</v>
      </c>
      <c r="H777" s="3">
        <v>27.807469067806185</v>
      </c>
      <c r="I777" s="3">
        <v>20.418169118687683</v>
      </c>
      <c r="J777" s="7">
        <v>9.31698339889924</v>
      </c>
    </row>
    <row r="778" ht="14.25" customHeight="1">
      <c r="A778" s="3" t="s">
        <v>24</v>
      </c>
      <c r="B778" s="6" t="s">
        <v>38</v>
      </c>
      <c r="C778" s="3" t="s">
        <v>40</v>
      </c>
      <c r="D778" s="3" t="s">
        <v>31</v>
      </c>
      <c r="E778" s="3" t="s">
        <v>14</v>
      </c>
      <c r="F778" s="3">
        <v>180.0</v>
      </c>
      <c r="G778" s="4" t="s">
        <v>20</v>
      </c>
      <c r="H778" s="3">
        <v>23.630112828438428</v>
      </c>
      <c r="I778" s="3">
        <v>14.880546690179626</v>
      </c>
      <c r="J778" s="7">
        <v>6.790119411444046</v>
      </c>
    </row>
    <row r="779" ht="14.25" customHeight="1">
      <c r="A779" s="3" t="s">
        <v>24</v>
      </c>
      <c r="B779" s="6" t="s">
        <v>38</v>
      </c>
      <c r="C779" s="3" t="s">
        <v>40</v>
      </c>
      <c r="D779" s="3" t="s">
        <v>31</v>
      </c>
      <c r="E779" s="3" t="s">
        <v>14</v>
      </c>
      <c r="F779" s="3">
        <v>180.0</v>
      </c>
      <c r="G779" s="4" t="s">
        <v>21</v>
      </c>
      <c r="H779" s="3">
        <v>30.74640816700411</v>
      </c>
      <c r="I779" s="3">
        <v>19.427329700597078</v>
      </c>
      <c r="J779" s="7">
        <v>8.864854985442426</v>
      </c>
    </row>
    <row r="780" ht="14.25" customHeight="1">
      <c r="A780" s="3" t="s">
        <v>24</v>
      </c>
      <c r="B780" s="6" t="s">
        <v>38</v>
      </c>
      <c r="C780" s="3" t="s">
        <v>40</v>
      </c>
      <c r="D780" s="3" t="s">
        <v>31</v>
      </c>
      <c r="E780" s="3" t="s">
        <v>14</v>
      </c>
      <c r="F780" s="3">
        <v>180.0</v>
      </c>
      <c r="G780" s="4" t="s">
        <v>22</v>
      </c>
      <c r="H780" s="3">
        <v>19.788468871918013</v>
      </c>
      <c r="I780" s="3">
        <v>14.213918751134484</v>
      </c>
      <c r="J780" s="7">
        <v>6.485931440170881</v>
      </c>
    </row>
    <row r="781" ht="14.25" customHeight="1">
      <c r="A781" s="3" t="s">
        <v>25</v>
      </c>
      <c r="B781" s="6" t="s">
        <v>38</v>
      </c>
      <c r="C781" s="3" t="s">
        <v>40</v>
      </c>
      <c r="D781" s="3" t="s">
        <v>31</v>
      </c>
      <c r="E781" s="3" t="s">
        <v>14</v>
      </c>
      <c r="F781" s="3">
        <v>180.0</v>
      </c>
      <c r="G781" s="4" t="s">
        <v>15</v>
      </c>
      <c r="H781" s="3">
        <v>6.7705433684409195</v>
      </c>
      <c r="I781" s="3">
        <v>5.071470788788975</v>
      </c>
      <c r="J781" s="7">
        <v>2.314155048500559</v>
      </c>
    </row>
    <row r="782" ht="14.25" customHeight="1">
      <c r="A782" s="3" t="s">
        <v>25</v>
      </c>
      <c r="B782" s="6" t="s">
        <v>38</v>
      </c>
      <c r="C782" s="3" t="s">
        <v>40</v>
      </c>
      <c r="D782" s="3" t="s">
        <v>31</v>
      </c>
      <c r="E782" s="3" t="s">
        <v>14</v>
      </c>
      <c r="F782" s="3">
        <v>180.0</v>
      </c>
      <c r="G782" s="4" t="s">
        <v>16</v>
      </c>
      <c r="H782" s="3">
        <v>9.564772168456587</v>
      </c>
      <c r="I782" s="3">
        <v>6.670732750037665</v>
      </c>
      <c r="J782" s="7">
        <v>3.043911818406418</v>
      </c>
    </row>
    <row r="783" ht="14.25" customHeight="1">
      <c r="A783" s="3" t="s">
        <v>25</v>
      </c>
      <c r="B783" s="6" t="s">
        <v>38</v>
      </c>
      <c r="C783" s="3" t="s">
        <v>40</v>
      </c>
      <c r="D783" s="3" t="s">
        <v>31</v>
      </c>
      <c r="E783" s="3" t="s">
        <v>14</v>
      </c>
      <c r="F783" s="3">
        <v>180.0</v>
      </c>
      <c r="G783" s="4" t="s">
        <v>17</v>
      </c>
      <c r="H783" s="3">
        <v>8.132356904347928</v>
      </c>
      <c r="I783" s="3">
        <v>5.106762981006077</v>
      </c>
      <c r="J783" s="7">
        <v>2.330259174540761</v>
      </c>
    </row>
    <row r="784" ht="14.25" customHeight="1">
      <c r="A784" s="3" t="s">
        <v>25</v>
      </c>
      <c r="B784" s="6" t="s">
        <v>38</v>
      </c>
      <c r="C784" s="3" t="s">
        <v>40</v>
      </c>
      <c r="D784" s="3" t="s">
        <v>31</v>
      </c>
      <c r="E784" s="3" t="s">
        <v>14</v>
      </c>
      <c r="F784" s="3">
        <v>180.0</v>
      </c>
      <c r="G784" s="4" t="s">
        <v>18</v>
      </c>
      <c r="H784" s="3">
        <v>7.289324248458438</v>
      </c>
      <c r="I784" s="3">
        <v>4.668428430564669</v>
      </c>
      <c r="J784" s="7">
        <v>2.1302434088818933</v>
      </c>
    </row>
    <row r="785" ht="14.25" customHeight="1">
      <c r="A785" s="3" t="s">
        <v>25</v>
      </c>
      <c r="B785" s="6" t="s">
        <v>38</v>
      </c>
      <c r="C785" s="3" t="s">
        <v>40</v>
      </c>
      <c r="D785" s="3" t="s">
        <v>31</v>
      </c>
      <c r="E785" s="3" t="s">
        <v>14</v>
      </c>
      <c r="F785" s="3">
        <v>180.0</v>
      </c>
      <c r="G785" s="4" t="s">
        <v>19</v>
      </c>
      <c r="H785" s="3">
        <v>6.063321492236651</v>
      </c>
      <c r="I785" s="3">
        <v>3.8590571968535556</v>
      </c>
      <c r="J785" s="7">
        <v>1.7609204639988847</v>
      </c>
    </row>
    <row r="786" ht="14.25" customHeight="1">
      <c r="A786" s="3" t="s">
        <v>25</v>
      </c>
      <c r="B786" s="6" t="s">
        <v>38</v>
      </c>
      <c r="C786" s="3" t="s">
        <v>40</v>
      </c>
      <c r="D786" s="3" t="s">
        <v>31</v>
      </c>
      <c r="E786" s="3" t="s">
        <v>14</v>
      </c>
      <c r="F786" s="3">
        <v>180.0</v>
      </c>
      <c r="G786" s="4" t="s">
        <v>20</v>
      </c>
      <c r="H786" s="3">
        <v>3.822702360871048</v>
      </c>
      <c r="I786" s="3">
        <v>2.3225337728264743</v>
      </c>
      <c r="J786" s="7">
        <v>1.0597918196789753</v>
      </c>
    </row>
    <row r="787" ht="14.25" customHeight="1">
      <c r="A787" s="3" t="s">
        <v>25</v>
      </c>
      <c r="B787" s="6" t="s">
        <v>38</v>
      </c>
      <c r="C787" s="3" t="s">
        <v>40</v>
      </c>
      <c r="D787" s="3" t="s">
        <v>31</v>
      </c>
      <c r="E787" s="3" t="s">
        <v>14</v>
      </c>
      <c r="F787" s="3">
        <v>180.0</v>
      </c>
      <c r="G787" s="4" t="s">
        <v>21</v>
      </c>
      <c r="H787" s="3">
        <v>3.1899656431489776</v>
      </c>
      <c r="I787" s="3">
        <v>2.3316812247807066</v>
      </c>
      <c r="J787" s="7">
        <v>1.0639658794345</v>
      </c>
    </row>
    <row r="788" ht="14.25" customHeight="1">
      <c r="A788" s="3" t="s">
        <v>25</v>
      </c>
      <c r="B788" s="6" t="s">
        <v>38</v>
      </c>
      <c r="C788" s="3" t="s">
        <v>40</v>
      </c>
      <c r="D788" s="3" t="s">
        <v>31</v>
      </c>
      <c r="E788" s="3" t="s">
        <v>14</v>
      </c>
      <c r="F788" s="3">
        <v>180.0</v>
      </c>
      <c r="G788" s="4" t="s">
        <v>22</v>
      </c>
      <c r="H788" s="3">
        <v>3.1651930876985284</v>
      </c>
      <c r="I788" s="3">
        <v>2.308053145938099</v>
      </c>
      <c r="J788" s="7">
        <v>1.0531841870582246</v>
      </c>
    </row>
    <row r="789" ht="14.25" customHeight="1">
      <c r="A789" s="3" t="s">
        <v>26</v>
      </c>
      <c r="B789" s="6" t="s">
        <v>38</v>
      </c>
      <c r="C789" s="3" t="s">
        <v>40</v>
      </c>
      <c r="D789" s="3" t="s">
        <v>31</v>
      </c>
      <c r="E789" s="3" t="s">
        <v>14</v>
      </c>
      <c r="F789" s="3">
        <v>180.0</v>
      </c>
      <c r="G789" s="4" t="s">
        <v>15</v>
      </c>
      <c r="H789" s="3">
        <v>42.12541791784681</v>
      </c>
      <c r="I789" s="3">
        <v>29.488037815643843</v>
      </c>
      <c r="J789" s="7">
        <v>13.455641257423611</v>
      </c>
    </row>
    <row r="790" ht="14.25" customHeight="1">
      <c r="A790" s="3" t="s">
        <v>26</v>
      </c>
      <c r="B790" s="6" t="s">
        <v>38</v>
      </c>
      <c r="C790" s="3" t="s">
        <v>40</v>
      </c>
      <c r="D790" s="3" t="s">
        <v>31</v>
      </c>
      <c r="E790" s="3" t="s">
        <v>14</v>
      </c>
      <c r="F790" s="3">
        <v>180.0</v>
      </c>
      <c r="G790" s="4" t="s">
        <v>16</v>
      </c>
      <c r="H790" s="3">
        <v>41.43344776631471</v>
      </c>
      <c r="I790" s="3">
        <v>25.26497501919459</v>
      </c>
      <c r="J790" s="7">
        <v>11.528621957195798</v>
      </c>
    </row>
    <row r="791" ht="14.25" customHeight="1">
      <c r="A791" s="3" t="s">
        <v>26</v>
      </c>
      <c r="B791" s="6" t="s">
        <v>38</v>
      </c>
      <c r="C791" s="3" t="s">
        <v>40</v>
      </c>
      <c r="D791" s="3" t="s">
        <v>31</v>
      </c>
      <c r="E791" s="3" t="s">
        <v>14</v>
      </c>
      <c r="F791" s="3">
        <v>180.0</v>
      </c>
      <c r="G791" s="4" t="s">
        <v>17</v>
      </c>
      <c r="H791" s="3">
        <v>42.87943965255223</v>
      </c>
      <c r="I791" s="3">
        <v>26.87097156740061</v>
      </c>
      <c r="J791" s="7">
        <v>12.261451776135344</v>
      </c>
    </row>
    <row r="792" ht="14.25" customHeight="1">
      <c r="A792" s="3" t="s">
        <v>26</v>
      </c>
      <c r="B792" s="6" t="s">
        <v>38</v>
      </c>
      <c r="C792" s="3" t="s">
        <v>40</v>
      </c>
      <c r="D792" s="3" t="s">
        <v>31</v>
      </c>
      <c r="E792" s="3" t="s">
        <v>14</v>
      </c>
      <c r="F792" s="3">
        <v>180.0</v>
      </c>
      <c r="G792" s="4" t="s">
        <v>18</v>
      </c>
      <c r="H792" s="3">
        <v>43.47403878184628</v>
      </c>
      <c r="I792" s="3">
        <v>26.17273292276354</v>
      </c>
      <c r="J792" s="7">
        <v>11.94283957233107</v>
      </c>
    </row>
    <row r="793" ht="14.25" customHeight="1">
      <c r="A793" s="3" t="s">
        <v>26</v>
      </c>
      <c r="B793" s="6" t="s">
        <v>38</v>
      </c>
      <c r="C793" s="3" t="s">
        <v>40</v>
      </c>
      <c r="D793" s="3" t="s">
        <v>31</v>
      </c>
      <c r="E793" s="3" t="s">
        <v>14</v>
      </c>
      <c r="F793" s="3">
        <v>180.0</v>
      </c>
      <c r="G793" s="4" t="s">
        <v>19</v>
      </c>
      <c r="H793" s="3">
        <v>38.801010517315</v>
      </c>
      <c r="I793" s="3">
        <v>25.316063516408217</v>
      </c>
      <c r="J793" s="7">
        <v>11.551934070914085</v>
      </c>
    </row>
    <row r="794" ht="14.25" customHeight="1">
      <c r="A794" s="3" t="s">
        <v>26</v>
      </c>
      <c r="B794" s="6" t="s">
        <v>38</v>
      </c>
      <c r="C794" s="3" t="s">
        <v>40</v>
      </c>
      <c r="D794" s="3" t="s">
        <v>31</v>
      </c>
      <c r="E794" s="3" t="s">
        <v>14</v>
      </c>
      <c r="F794" s="3">
        <v>180.0</v>
      </c>
      <c r="G794" s="4" t="s">
        <v>20</v>
      </c>
      <c r="H794" s="3">
        <v>34.285409290191765</v>
      </c>
      <c r="I794" s="3">
        <v>21.93461843142898</v>
      </c>
      <c r="J794" s="7">
        <v>10.00895205632169</v>
      </c>
    </row>
    <row r="795" ht="14.25" customHeight="1">
      <c r="A795" s="3" t="s">
        <v>26</v>
      </c>
      <c r="B795" s="6" t="s">
        <v>38</v>
      </c>
      <c r="C795" s="3" t="s">
        <v>40</v>
      </c>
      <c r="D795" s="3" t="s">
        <v>31</v>
      </c>
      <c r="E795" s="3" t="s">
        <v>14</v>
      </c>
      <c r="F795" s="3">
        <v>180.0</v>
      </c>
      <c r="G795" s="4" t="s">
        <v>21</v>
      </c>
      <c r="H795" s="3">
        <v>31.702827991181557</v>
      </c>
      <c r="I795" s="3">
        <v>20.25115492962187</v>
      </c>
      <c r="J795" s="7">
        <v>9.240773410733228</v>
      </c>
    </row>
    <row r="796" ht="14.25" customHeight="1">
      <c r="A796" s="3" t="s">
        <v>26</v>
      </c>
      <c r="B796" s="6" t="s">
        <v>38</v>
      </c>
      <c r="C796" s="3" t="s">
        <v>40</v>
      </c>
      <c r="D796" s="3" t="s">
        <v>31</v>
      </c>
      <c r="E796" s="3" t="s">
        <v>14</v>
      </c>
      <c r="F796" s="3">
        <v>180.0</v>
      </c>
      <c r="G796" s="4" t="s">
        <v>22</v>
      </c>
      <c r="H796" s="3">
        <v>33.59595182982744</v>
      </c>
      <c r="I796" s="3">
        <v>20.79596446638963</v>
      </c>
      <c r="J796" s="7">
        <v>9.489374613912677</v>
      </c>
    </row>
    <row r="797" ht="14.25" customHeight="1">
      <c r="A797" s="3" t="s">
        <v>10</v>
      </c>
      <c r="B797" s="6" t="s">
        <v>38</v>
      </c>
      <c r="C797" s="3" t="s">
        <v>40</v>
      </c>
      <c r="D797" s="3" t="s">
        <v>13</v>
      </c>
      <c r="E797" s="3" t="s">
        <v>14</v>
      </c>
      <c r="F797" s="3">
        <v>180.0</v>
      </c>
      <c r="G797" s="4" t="s">
        <v>15</v>
      </c>
      <c r="H797" s="3">
        <v>38.462885142510686</v>
      </c>
      <c r="I797" s="3">
        <v>23.393166339871755</v>
      </c>
      <c r="J797" s="7">
        <v>11.879527899589556</v>
      </c>
    </row>
    <row r="798" ht="14.25" customHeight="1">
      <c r="A798" s="3" t="s">
        <v>10</v>
      </c>
      <c r="B798" s="6" t="s">
        <v>38</v>
      </c>
      <c r="C798" s="3" t="s">
        <v>40</v>
      </c>
      <c r="D798" s="3" t="s">
        <v>13</v>
      </c>
      <c r="E798" s="3" t="s">
        <v>14</v>
      </c>
      <c r="F798" s="3">
        <v>180.0</v>
      </c>
      <c r="G798" s="4" t="s">
        <v>16</v>
      </c>
      <c r="H798" s="3">
        <v>45.94021520076109</v>
      </c>
      <c r="I798" s="3">
        <v>33.99336825981181</v>
      </c>
      <c r="J798" s="7">
        <v>17.262527046420786</v>
      </c>
    </row>
    <row r="799" ht="14.25" customHeight="1">
      <c r="A799" s="3" t="s">
        <v>10</v>
      </c>
      <c r="B799" s="6" t="s">
        <v>38</v>
      </c>
      <c r="C799" s="3" t="s">
        <v>40</v>
      </c>
      <c r="D799" s="3" t="s">
        <v>13</v>
      </c>
      <c r="E799" s="3" t="s">
        <v>14</v>
      </c>
      <c r="F799" s="3">
        <v>180.0</v>
      </c>
      <c r="G799" s="4" t="s">
        <v>17</v>
      </c>
      <c r="H799" s="3">
        <v>47.14662812665364</v>
      </c>
      <c r="I799" s="3">
        <v>29.055388555649863</v>
      </c>
      <c r="J799" s="7">
        <v>14.754920046541672</v>
      </c>
    </row>
    <row r="800" ht="14.25" customHeight="1">
      <c r="A800" s="3" t="s">
        <v>10</v>
      </c>
      <c r="B800" s="6" t="s">
        <v>38</v>
      </c>
      <c r="C800" s="3" t="s">
        <v>40</v>
      </c>
      <c r="D800" s="3" t="s">
        <v>13</v>
      </c>
      <c r="E800" s="3" t="s">
        <v>14</v>
      </c>
      <c r="F800" s="3">
        <v>180.0</v>
      </c>
      <c r="G800" s="4" t="s">
        <v>18</v>
      </c>
      <c r="H800" s="3">
        <v>44.640850544407755</v>
      </c>
      <c r="I800" s="3">
        <v>28.812799031666835</v>
      </c>
      <c r="J800" s="7">
        <v>14.631728129020331</v>
      </c>
    </row>
    <row r="801" ht="14.25" customHeight="1">
      <c r="A801" s="3" t="s">
        <v>10</v>
      </c>
      <c r="B801" s="6" t="s">
        <v>38</v>
      </c>
      <c r="C801" s="3" t="s">
        <v>40</v>
      </c>
      <c r="D801" s="3" t="s">
        <v>13</v>
      </c>
      <c r="E801" s="3" t="s">
        <v>14</v>
      </c>
      <c r="F801" s="3">
        <v>180.0</v>
      </c>
      <c r="G801" s="4" t="s">
        <v>19</v>
      </c>
      <c r="H801" s="3">
        <v>46.10032161600557</v>
      </c>
      <c r="I801" s="3">
        <v>28.272880933112102</v>
      </c>
      <c r="J801" s="7">
        <v>14.35754668551295</v>
      </c>
    </row>
    <row r="802" ht="14.25" customHeight="1">
      <c r="A802" s="3" t="s">
        <v>10</v>
      </c>
      <c r="B802" s="6" t="s">
        <v>38</v>
      </c>
      <c r="C802" s="3" t="s">
        <v>40</v>
      </c>
      <c r="D802" s="3" t="s">
        <v>13</v>
      </c>
      <c r="E802" s="3" t="s">
        <v>14</v>
      </c>
      <c r="F802" s="3">
        <v>180.0</v>
      </c>
      <c r="G802" s="4" t="s">
        <v>20</v>
      </c>
      <c r="H802" s="3">
        <v>42.535217323537466</v>
      </c>
      <c r="I802" s="3">
        <v>31.304096795716898</v>
      </c>
      <c r="J802" s="7">
        <v>15.89686004251315</v>
      </c>
    </row>
    <row r="803" ht="14.25" customHeight="1">
      <c r="A803" s="3" t="s">
        <v>10</v>
      </c>
      <c r="B803" s="6" t="s">
        <v>38</v>
      </c>
      <c r="C803" s="3" t="s">
        <v>40</v>
      </c>
      <c r="D803" s="3" t="s">
        <v>13</v>
      </c>
      <c r="E803" s="3" t="s">
        <v>14</v>
      </c>
      <c r="F803" s="3">
        <v>180.0</v>
      </c>
      <c r="G803" s="4" t="s">
        <v>21</v>
      </c>
      <c r="H803" s="3">
        <v>38.807024673967646</v>
      </c>
      <c r="I803" s="3">
        <v>24.71162506401872</v>
      </c>
      <c r="J803" s="7">
        <v>12.54906818201235</v>
      </c>
    </row>
    <row r="804" ht="14.25" customHeight="1">
      <c r="A804" s="3" t="s">
        <v>10</v>
      </c>
      <c r="B804" s="6" t="s">
        <v>38</v>
      </c>
      <c r="C804" s="3" t="s">
        <v>40</v>
      </c>
      <c r="D804" s="3" t="s">
        <v>13</v>
      </c>
      <c r="E804" s="3" t="s">
        <v>14</v>
      </c>
      <c r="F804" s="3">
        <v>180.0</v>
      </c>
      <c r="G804" s="4" t="s">
        <v>22</v>
      </c>
      <c r="H804" s="3">
        <v>38.150183610905884</v>
      </c>
      <c r="I804" s="3">
        <v>23.91648992116003</v>
      </c>
      <c r="J804" s="7">
        <v>12.145282308125141</v>
      </c>
    </row>
    <row r="805" ht="14.25" customHeight="1">
      <c r="A805" s="3" t="s">
        <v>23</v>
      </c>
      <c r="B805" s="6" t="s">
        <v>38</v>
      </c>
      <c r="C805" s="3" t="s">
        <v>40</v>
      </c>
      <c r="D805" s="3" t="s">
        <v>13</v>
      </c>
      <c r="E805" s="3" t="s">
        <v>14</v>
      </c>
      <c r="F805" s="3">
        <v>180.0</v>
      </c>
      <c r="G805" s="4" t="s">
        <v>15</v>
      </c>
      <c r="H805" s="3">
        <v>222.43281626813712</v>
      </c>
      <c r="I805" s="3">
        <v>142.89362387344457</v>
      </c>
      <c r="J805" s="7">
        <v>72.5643021904553</v>
      </c>
    </row>
    <row r="806" ht="14.25" customHeight="1">
      <c r="A806" s="3" t="s">
        <v>23</v>
      </c>
      <c r="B806" s="6" t="s">
        <v>38</v>
      </c>
      <c r="C806" s="3" t="s">
        <v>40</v>
      </c>
      <c r="D806" s="3" t="s">
        <v>13</v>
      </c>
      <c r="E806" s="3" t="s">
        <v>14</v>
      </c>
      <c r="F806" s="3">
        <v>180.0</v>
      </c>
      <c r="G806" s="4" t="s">
        <v>16</v>
      </c>
      <c r="H806" s="3">
        <v>225.8246547714361</v>
      </c>
      <c r="I806" s="3">
        <v>152.21353709417946</v>
      </c>
      <c r="J806" s="7">
        <v>77.29714457352198</v>
      </c>
    </row>
    <row r="807" ht="14.25" customHeight="1">
      <c r="A807" s="3" t="s">
        <v>23</v>
      </c>
      <c r="B807" s="6" t="s">
        <v>38</v>
      </c>
      <c r="C807" s="3" t="s">
        <v>40</v>
      </c>
      <c r="D807" s="3" t="s">
        <v>13</v>
      </c>
      <c r="E807" s="3" t="s">
        <v>14</v>
      </c>
      <c r="F807" s="3">
        <v>180.0</v>
      </c>
      <c r="G807" s="4" t="s">
        <v>17</v>
      </c>
      <c r="H807" s="3">
        <v>231.30827229491973</v>
      </c>
      <c r="I807" s="3">
        <v>171.18603517811974</v>
      </c>
      <c r="J807" s="7">
        <v>86.93176679774514</v>
      </c>
    </row>
    <row r="808" ht="14.25" customHeight="1">
      <c r="A808" s="3" t="s">
        <v>23</v>
      </c>
      <c r="B808" s="6" t="s">
        <v>38</v>
      </c>
      <c r="C808" s="3" t="s">
        <v>40</v>
      </c>
      <c r="D808" s="3" t="s">
        <v>13</v>
      </c>
      <c r="E808" s="3" t="s">
        <v>14</v>
      </c>
      <c r="F808" s="3">
        <v>180.0</v>
      </c>
      <c r="G808" s="4" t="s">
        <v>18</v>
      </c>
      <c r="H808" s="3">
        <v>214.0339106495696</v>
      </c>
      <c r="I808" s="3">
        <v>136.52528596823902</v>
      </c>
      <c r="J808" s="7">
        <v>69.33033006715368</v>
      </c>
    </row>
    <row r="809" ht="14.25" customHeight="1">
      <c r="A809" s="3" t="s">
        <v>23</v>
      </c>
      <c r="B809" s="6" t="s">
        <v>38</v>
      </c>
      <c r="C809" s="3" t="s">
        <v>40</v>
      </c>
      <c r="D809" s="3" t="s">
        <v>13</v>
      </c>
      <c r="E809" s="3" t="s">
        <v>14</v>
      </c>
      <c r="F809" s="3">
        <v>180.0</v>
      </c>
      <c r="G809" s="4" t="s">
        <v>19</v>
      </c>
      <c r="H809" s="3">
        <v>212.56236966821857</v>
      </c>
      <c r="I809" s="3">
        <v>152.81138116641665</v>
      </c>
      <c r="J809" s="7">
        <v>77.60074201016486</v>
      </c>
    </row>
    <row r="810" ht="14.25" customHeight="1">
      <c r="A810" s="3" t="s">
        <v>23</v>
      </c>
      <c r="B810" s="6" t="s">
        <v>38</v>
      </c>
      <c r="C810" s="3" t="s">
        <v>40</v>
      </c>
      <c r="D810" s="3" t="s">
        <v>13</v>
      </c>
      <c r="E810" s="3" t="s">
        <v>14</v>
      </c>
      <c r="F810" s="3">
        <v>180.0</v>
      </c>
      <c r="G810" s="4" t="s">
        <v>20</v>
      </c>
      <c r="H810" s="3">
        <v>199.7409895799941</v>
      </c>
      <c r="I810" s="3">
        <v>146.68189048908826</v>
      </c>
      <c r="J810" s="7">
        <v>74.48806138994935</v>
      </c>
    </row>
    <row r="811" ht="14.25" customHeight="1">
      <c r="A811" s="3" t="s">
        <v>23</v>
      </c>
      <c r="B811" s="6" t="s">
        <v>38</v>
      </c>
      <c r="C811" s="3" t="s">
        <v>40</v>
      </c>
      <c r="D811" s="3" t="s">
        <v>13</v>
      </c>
      <c r="E811" s="3" t="s">
        <v>14</v>
      </c>
      <c r="F811" s="3">
        <v>180.0</v>
      </c>
      <c r="G811" s="4" t="s">
        <v>21</v>
      </c>
      <c r="H811" s="3">
        <v>179.05570651625996</v>
      </c>
      <c r="I811" s="3">
        <v>107.91113775861187</v>
      </c>
      <c r="J811" s="7">
        <v>54.79948088493392</v>
      </c>
    </row>
    <row r="812" ht="14.25" customHeight="1">
      <c r="A812" s="3" t="s">
        <v>23</v>
      </c>
      <c r="B812" s="6" t="s">
        <v>38</v>
      </c>
      <c r="C812" s="3" t="s">
        <v>40</v>
      </c>
      <c r="D812" s="3" t="s">
        <v>13</v>
      </c>
      <c r="E812" s="3" t="s">
        <v>14</v>
      </c>
      <c r="F812" s="3">
        <v>180.0</v>
      </c>
      <c r="G812" s="4" t="s">
        <v>22</v>
      </c>
      <c r="H812" s="3">
        <v>166.23194546708316</v>
      </c>
      <c r="I812" s="3">
        <v>104.12220995428262</v>
      </c>
      <c r="J812" s="7">
        <v>52.87538592031415</v>
      </c>
    </row>
    <row r="813" ht="14.25" customHeight="1">
      <c r="A813" s="3" t="s">
        <v>24</v>
      </c>
      <c r="B813" s="6" t="s">
        <v>38</v>
      </c>
      <c r="C813" s="3" t="s">
        <v>40</v>
      </c>
      <c r="D813" s="3" t="s">
        <v>13</v>
      </c>
      <c r="E813" s="3" t="s">
        <v>14</v>
      </c>
      <c r="F813" s="3">
        <v>180.0</v>
      </c>
      <c r="G813" s="4" t="s">
        <v>15</v>
      </c>
      <c r="H813" s="3">
        <v>37.676221030979875</v>
      </c>
      <c r="I813" s="3">
        <v>26.09340544704726</v>
      </c>
      <c r="J813" s="7">
        <v>13.25076449677395</v>
      </c>
    </row>
    <row r="814" ht="14.25" customHeight="1">
      <c r="A814" s="3" t="s">
        <v>24</v>
      </c>
      <c r="B814" s="6" t="s">
        <v>38</v>
      </c>
      <c r="C814" s="3" t="s">
        <v>40</v>
      </c>
      <c r="D814" s="3" t="s">
        <v>13</v>
      </c>
      <c r="E814" s="3" t="s">
        <v>14</v>
      </c>
      <c r="F814" s="3">
        <v>180.0</v>
      </c>
      <c r="G814" s="4" t="s">
        <v>16</v>
      </c>
      <c r="H814" s="3">
        <v>44.73629040625268</v>
      </c>
      <c r="I814" s="3">
        <v>27.27795241790426</v>
      </c>
      <c r="J814" s="7">
        <v>13.852301654430358</v>
      </c>
    </row>
    <row r="815" ht="14.25" customHeight="1">
      <c r="A815" s="3" t="s">
        <v>24</v>
      </c>
      <c r="B815" s="6" t="s">
        <v>38</v>
      </c>
      <c r="C815" s="3" t="s">
        <v>40</v>
      </c>
      <c r="D815" s="3" t="s">
        <v>13</v>
      </c>
      <c r="E815" s="3" t="s">
        <v>14</v>
      </c>
      <c r="F815" s="3">
        <v>180.0</v>
      </c>
      <c r="G815" s="4" t="s">
        <v>17</v>
      </c>
      <c r="H815" s="3">
        <v>47.79964239875507</v>
      </c>
      <c r="I815" s="3">
        <v>35.247899040498304</v>
      </c>
      <c r="J815" s="7">
        <v>17.89960341280637</v>
      </c>
    </row>
    <row r="816" ht="14.25" customHeight="1">
      <c r="A816" s="3" t="s">
        <v>24</v>
      </c>
      <c r="B816" s="6" t="s">
        <v>38</v>
      </c>
      <c r="C816" s="3" t="s">
        <v>40</v>
      </c>
      <c r="D816" s="3" t="s">
        <v>13</v>
      </c>
      <c r="E816" s="3" t="s">
        <v>14</v>
      </c>
      <c r="F816" s="3">
        <v>180.0</v>
      </c>
      <c r="G816" s="4" t="s">
        <v>18</v>
      </c>
      <c r="H816" s="3">
        <v>43.513585222075065</v>
      </c>
      <c r="I816" s="3">
        <v>27.290757713468814</v>
      </c>
      <c r="J816" s="7">
        <v>13.858804445190339</v>
      </c>
    </row>
    <row r="817" ht="14.25" customHeight="1">
      <c r="A817" s="3" t="s">
        <v>24</v>
      </c>
      <c r="B817" s="6" t="s">
        <v>38</v>
      </c>
      <c r="C817" s="3" t="s">
        <v>40</v>
      </c>
      <c r="D817" s="3" t="s">
        <v>13</v>
      </c>
      <c r="E817" s="3" t="s">
        <v>14</v>
      </c>
      <c r="F817" s="3">
        <v>180.0</v>
      </c>
      <c r="G817" s="4" t="s">
        <v>19</v>
      </c>
      <c r="H817" s="3">
        <v>45.44253051252194</v>
      </c>
      <c r="I817" s="3">
        <v>29.09321500668109</v>
      </c>
      <c r="J817" s="7">
        <v>14.774129091347293</v>
      </c>
    </row>
    <row r="818" ht="14.25" customHeight="1">
      <c r="A818" s="3" t="s">
        <v>24</v>
      </c>
      <c r="B818" s="6" t="s">
        <v>38</v>
      </c>
      <c r="C818" s="3" t="s">
        <v>40</v>
      </c>
      <c r="D818" s="3" t="s">
        <v>13</v>
      </c>
      <c r="E818" s="3" t="s">
        <v>14</v>
      </c>
      <c r="F818" s="3">
        <v>180.0</v>
      </c>
      <c r="G818" s="4" t="s">
        <v>20</v>
      </c>
      <c r="H818" s="3">
        <v>40.32346343661129</v>
      </c>
      <c r="I818" s="3">
        <v>27.315991471045066</v>
      </c>
      <c r="J818" s="7">
        <v>13.871618662931683</v>
      </c>
    </row>
    <row r="819" ht="14.25" customHeight="1">
      <c r="A819" s="3" t="s">
        <v>24</v>
      </c>
      <c r="B819" s="6" t="s">
        <v>38</v>
      </c>
      <c r="C819" s="3" t="s">
        <v>40</v>
      </c>
      <c r="D819" s="3" t="s">
        <v>13</v>
      </c>
      <c r="E819" s="3" t="s">
        <v>14</v>
      </c>
      <c r="F819" s="3">
        <v>180.0</v>
      </c>
      <c r="G819" s="4" t="s">
        <v>21</v>
      </c>
      <c r="H819" s="3">
        <v>32.749556628477556</v>
      </c>
      <c r="I819" s="3">
        <v>22.984656423449664</v>
      </c>
      <c r="J819" s="7">
        <v>11.672078216255162</v>
      </c>
    </row>
    <row r="820" ht="14.25" customHeight="1">
      <c r="A820" s="3" t="s">
        <v>24</v>
      </c>
      <c r="B820" s="6" t="s">
        <v>38</v>
      </c>
      <c r="C820" s="3" t="s">
        <v>40</v>
      </c>
      <c r="D820" s="3" t="s">
        <v>13</v>
      </c>
      <c r="E820" s="3" t="s">
        <v>14</v>
      </c>
      <c r="F820" s="3">
        <v>180.0</v>
      </c>
      <c r="G820" s="4" t="s">
        <v>22</v>
      </c>
      <c r="H820" s="3">
        <v>27.638117948368393</v>
      </c>
      <c r="I820" s="3">
        <v>16.72043033344754</v>
      </c>
      <c r="J820" s="7">
        <v>8.490976200206957</v>
      </c>
    </row>
    <row r="821" ht="14.25" customHeight="1">
      <c r="A821" s="3" t="s">
        <v>25</v>
      </c>
      <c r="B821" s="6" t="s">
        <v>38</v>
      </c>
      <c r="C821" s="3" t="s">
        <v>40</v>
      </c>
      <c r="D821" s="3" t="s">
        <v>13</v>
      </c>
      <c r="E821" s="3" t="s">
        <v>14</v>
      </c>
      <c r="F821" s="3">
        <v>180.0</v>
      </c>
      <c r="G821" s="4" t="s">
        <v>15</v>
      </c>
      <c r="H821" s="3">
        <v>37.53681783952807</v>
      </c>
      <c r="I821" s="3">
        <v>27.604426590289386</v>
      </c>
      <c r="J821" s="7">
        <v>14.018091910567431</v>
      </c>
    </row>
    <row r="822" ht="14.25" customHeight="1">
      <c r="A822" s="3" t="s">
        <v>25</v>
      </c>
      <c r="B822" s="6" t="s">
        <v>38</v>
      </c>
      <c r="C822" s="3" t="s">
        <v>40</v>
      </c>
      <c r="D822" s="3" t="s">
        <v>13</v>
      </c>
      <c r="E822" s="3" t="s">
        <v>14</v>
      </c>
      <c r="F822" s="3">
        <v>180.0</v>
      </c>
      <c r="G822" s="4" t="s">
        <v>16</v>
      </c>
      <c r="H822" s="3">
        <v>41.750190381319335</v>
      </c>
      <c r="I822" s="3">
        <v>26.885831149342376</v>
      </c>
      <c r="J822" s="7">
        <v>13.653174461376384</v>
      </c>
    </row>
    <row r="823" ht="14.25" customHeight="1">
      <c r="A823" s="3" t="s">
        <v>25</v>
      </c>
      <c r="B823" s="6" t="s">
        <v>38</v>
      </c>
      <c r="C823" s="3" t="s">
        <v>40</v>
      </c>
      <c r="D823" s="3" t="s">
        <v>13</v>
      </c>
      <c r="E823" s="3" t="s">
        <v>14</v>
      </c>
      <c r="F823" s="3">
        <v>180.0</v>
      </c>
      <c r="G823" s="4" t="s">
        <v>17</v>
      </c>
      <c r="H823" s="3">
        <v>44.09102368982577</v>
      </c>
      <c r="I823" s="3">
        <v>27.557959519619864</v>
      </c>
      <c r="J823" s="7">
        <v>13.994494982541065</v>
      </c>
    </row>
    <row r="824" ht="14.25" customHeight="1">
      <c r="A824" s="3" t="s">
        <v>25</v>
      </c>
      <c r="B824" s="6" t="s">
        <v>38</v>
      </c>
      <c r="C824" s="3" t="s">
        <v>40</v>
      </c>
      <c r="D824" s="3" t="s">
        <v>13</v>
      </c>
      <c r="E824" s="3" t="s">
        <v>14</v>
      </c>
      <c r="F824" s="3">
        <v>180.0</v>
      </c>
      <c r="G824" s="4" t="s">
        <v>18</v>
      </c>
      <c r="H824" s="3">
        <v>36.28346942277673</v>
      </c>
      <c r="I824" s="3">
        <v>26.02347785364491</v>
      </c>
      <c r="J824" s="7">
        <v>13.21525383589524</v>
      </c>
    </row>
    <row r="825" ht="14.25" customHeight="1">
      <c r="A825" s="3" t="s">
        <v>25</v>
      </c>
      <c r="B825" s="6" t="s">
        <v>38</v>
      </c>
      <c r="C825" s="3" t="s">
        <v>40</v>
      </c>
      <c r="D825" s="3" t="s">
        <v>13</v>
      </c>
      <c r="E825" s="3" t="s">
        <v>14</v>
      </c>
      <c r="F825" s="3">
        <v>180.0</v>
      </c>
      <c r="G825" s="4" t="s">
        <v>19</v>
      </c>
      <c r="H825" s="3">
        <v>35.02371767181777</v>
      </c>
      <c r="I825" s="3">
        <v>23.367244649214104</v>
      </c>
      <c r="J825" s="7">
        <v>11.866364335371777</v>
      </c>
    </row>
    <row r="826" ht="14.25" customHeight="1">
      <c r="A826" s="3" t="s">
        <v>25</v>
      </c>
      <c r="B826" s="6" t="s">
        <v>38</v>
      </c>
      <c r="C826" s="3" t="s">
        <v>40</v>
      </c>
      <c r="D826" s="3" t="s">
        <v>13</v>
      </c>
      <c r="E826" s="3" t="s">
        <v>14</v>
      </c>
      <c r="F826" s="3">
        <v>180.0</v>
      </c>
      <c r="G826" s="4" t="s">
        <v>20</v>
      </c>
      <c r="H826" s="3">
        <v>26.50432728160524</v>
      </c>
      <c r="I826" s="3">
        <v>16.170189877599697</v>
      </c>
      <c r="J826" s="7">
        <v>8.21155285273192</v>
      </c>
    </row>
    <row r="827" ht="14.25" customHeight="1">
      <c r="A827" s="3" t="s">
        <v>25</v>
      </c>
      <c r="B827" s="6" t="s">
        <v>38</v>
      </c>
      <c r="C827" s="3" t="s">
        <v>40</v>
      </c>
      <c r="D827" s="3" t="s">
        <v>13</v>
      </c>
      <c r="E827" s="3" t="s">
        <v>14</v>
      </c>
      <c r="F827" s="3">
        <v>180.0</v>
      </c>
      <c r="G827" s="4" t="s">
        <v>21</v>
      </c>
      <c r="H827" s="3">
        <v>24.47938726717609</v>
      </c>
      <c r="I827" s="3">
        <v>16.296870176403612</v>
      </c>
      <c r="J827" s="7">
        <v>8.275883697137727</v>
      </c>
    </row>
    <row r="828" ht="14.25" customHeight="1">
      <c r="A828" s="3" t="s">
        <v>25</v>
      </c>
      <c r="B828" s="6" t="s">
        <v>38</v>
      </c>
      <c r="C828" s="3" t="s">
        <v>40</v>
      </c>
      <c r="D828" s="3" t="s">
        <v>13</v>
      </c>
      <c r="E828" s="3" t="s">
        <v>14</v>
      </c>
      <c r="F828" s="3">
        <v>180.0</v>
      </c>
      <c r="G828" s="4" t="s">
        <v>22</v>
      </c>
      <c r="H828" s="3">
        <v>24.110300639099638</v>
      </c>
      <c r="I828" s="3">
        <v>14.555932788764277</v>
      </c>
      <c r="J828" s="7">
        <v>7.391800116171175</v>
      </c>
    </row>
    <row r="829" ht="14.25" customHeight="1">
      <c r="A829" s="3" t="s">
        <v>26</v>
      </c>
      <c r="B829" s="6" t="s">
        <v>38</v>
      </c>
      <c r="C829" s="3" t="s">
        <v>40</v>
      </c>
      <c r="D829" s="3" t="s">
        <v>13</v>
      </c>
      <c r="E829" s="3" t="s">
        <v>14</v>
      </c>
      <c r="F829" s="3">
        <v>180.0</v>
      </c>
      <c r="G829" s="4" t="s">
        <v>15</v>
      </c>
      <c r="H829" s="3">
        <v>147.33276775739583</v>
      </c>
      <c r="I829" s="3">
        <v>106.4755219096069</v>
      </c>
      <c r="J829" s="7">
        <v>54.070445820438195</v>
      </c>
    </row>
    <row r="830" ht="14.25" customHeight="1">
      <c r="A830" s="3" t="s">
        <v>26</v>
      </c>
      <c r="B830" s="6" t="s">
        <v>38</v>
      </c>
      <c r="C830" s="3" t="s">
        <v>40</v>
      </c>
      <c r="D830" s="3" t="s">
        <v>13</v>
      </c>
      <c r="E830" s="3" t="s">
        <v>14</v>
      </c>
      <c r="F830" s="3">
        <v>180.0</v>
      </c>
      <c r="G830" s="4" t="s">
        <v>16</v>
      </c>
      <c r="H830" s="3">
        <v>138.96237487816438</v>
      </c>
      <c r="I830" s="3">
        <v>87.85370357657814</v>
      </c>
      <c r="J830" s="7">
        <v>44.613905939761395</v>
      </c>
    </row>
    <row r="831" ht="14.25" customHeight="1">
      <c r="A831" s="3" t="s">
        <v>26</v>
      </c>
      <c r="B831" s="6" t="s">
        <v>38</v>
      </c>
      <c r="C831" s="3" t="s">
        <v>40</v>
      </c>
      <c r="D831" s="3" t="s">
        <v>13</v>
      </c>
      <c r="E831" s="3" t="s">
        <v>14</v>
      </c>
      <c r="F831" s="3">
        <v>180.0</v>
      </c>
      <c r="G831" s="4" t="s">
        <v>17</v>
      </c>
      <c r="H831" s="3">
        <v>138.89861534341992</v>
      </c>
      <c r="I831" s="3">
        <v>89.40685244418052</v>
      </c>
      <c r="J831" s="7">
        <v>45.40262667285218</v>
      </c>
    </row>
    <row r="832" ht="14.25" customHeight="1">
      <c r="A832" s="3" t="s">
        <v>26</v>
      </c>
      <c r="B832" s="6" t="s">
        <v>38</v>
      </c>
      <c r="C832" s="3" t="s">
        <v>40</v>
      </c>
      <c r="D832" s="3" t="s">
        <v>13</v>
      </c>
      <c r="E832" s="3" t="s">
        <v>14</v>
      </c>
      <c r="F832" s="3">
        <v>180.0</v>
      </c>
      <c r="G832" s="4" t="s">
        <v>18</v>
      </c>
      <c r="H832" s="3">
        <v>133.4383329765529</v>
      </c>
      <c r="I832" s="3">
        <v>88.87721870534696</v>
      </c>
      <c r="J832" s="7">
        <v>45.13366783736897</v>
      </c>
    </row>
    <row r="833" ht="14.25" customHeight="1">
      <c r="A833" s="3" t="s">
        <v>26</v>
      </c>
      <c r="B833" s="6" t="s">
        <v>38</v>
      </c>
      <c r="C833" s="3" t="s">
        <v>40</v>
      </c>
      <c r="D833" s="3" t="s">
        <v>13</v>
      </c>
      <c r="E833" s="3" t="s">
        <v>14</v>
      </c>
      <c r="F833" s="3">
        <v>180.0</v>
      </c>
      <c r="G833" s="4" t="s">
        <v>19</v>
      </c>
      <c r="H833" s="3">
        <v>131.71594692975972</v>
      </c>
      <c r="I833" s="3">
        <v>83.53269416863783</v>
      </c>
      <c r="J833" s="7">
        <v>42.41960906390302</v>
      </c>
    </row>
    <row r="834" ht="14.25" customHeight="1">
      <c r="A834" s="3" t="s">
        <v>26</v>
      </c>
      <c r="B834" s="6" t="s">
        <v>38</v>
      </c>
      <c r="C834" s="3" t="s">
        <v>40</v>
      </c>
      <c r="D834" s="3" t="s">
        <v>13</v>
      </c>
      <c r="E834" s="3" t="s">
        <v>14</v>
      </c>
      <c r="F834" s="3">
        <v>180.0</v>
      </c>
      <c r="G834" s="4" t="s">
        <v>20</v>
      </c>
      <c r="H834" s="3">
        <v>132.40003602863425</v>
      </c>
      <c r="I834" s="3">
        <v>93.01761991787791</v>
      </c>
      <c r="J834" s="7">
        <v>47.2362481809252</v>
      </c>
    </row>
    <row r="835" ht="14.25" customHeight="1">
      <c r="A835" s="3" t="s">
        <v>26</v>
      </c>
      <c r="B835" s="6" t="s">
        <v>38</v>
      </c>
      <c r="C835" s="3" t="s">
        <v>40</v>
      </c>
      <c r="D835" s="3" t="s">
        <v>13</v>
      </c>
      <c r="E835" s="3" t="s">
        <v>14</v>
      </c>
      <c r="F835" s="3">
        <v>180.0</v>
      </c>
      <c r="G835" s="4" t="s">
        <v>21</v>
      </c>
      <c r="H835" s="3">
        <v>120.490355723686</v>
      </c>
      <c r="I835" s="3">
        <v>83.37227228642271</v>
      </c>
      <c r="J835" s="7">
        <v>42.33814355394207</v>
      </c>
    </row>
    <row r="836" ht="14.25" customHeight="1">
      <c r="A836" s="3" t="s">
        <v>26</v>
      </c>
      <c r="B836" s="6" t="s">
        <v>38</v>
      </c>
      <c r="C836" s="3" t="s">
        <v>40</v>
      </c>
      <c r="D836" s="3" t="s">
        <v>13</v>
      </c>
      <c r="E836" s="3" t="s">
        <v>14</v>
      </c>
      <c r="F836" s="3">
        <v>180.0</v>
      </c>
      <c r="G836" s="4" t="s">
        <v>22</v>
      </c>
      <c r="H836" s="3">
        <v>113.81292421027752</v>
      </c>
      <c r="I836" s="3">
        <v>84.85750621366896</v>
      </c>
      <c r="J836" s="7">
        <v>43.09237569249896</v>
      </c>
    </row>
    <row r="837" ht="14.25" customHeight="1">
      <c r="A837" s="3" t="s">
        <v>10</v>
      </c>
      <c r="B837" s="6" t="s">
        <v>38</v>
      </c>
      <c r="C837" s="3" t="s">
        <v>40</v>
      </c>
      <c r="D837" s="3" t="s">
        <v>13</v>
      </c>
      <c r="E837" s="3" t="s">
        <v>29</v>
      </c>
      <c r="F837" s="3">
        <v>220.0</v>
      </c>
      <c r="G837" s="4" t="s">
        <v>15</v>
      </c>
      <c r="H837" s="3">
        <v>12.987083494145558</v>
      </c>
      <c r="I837" s="3">
        <v>9.479513105064115</v>
      </c>
      <c r="J837" s="7">
        <v>3.705250588283347</v>
      </c>
    </row>
    <row r="838" ht="14.25" customHeight="1">
      <c r="A838" s="3" t="s">
        <v>10</v>
      </c>
      <c r="B838" s="6" t="s">
        <v>38</v>
      </c>
      <c r="C838" s="3" t="s">
        <v>40</v>
      </c>
      <c r="D838" s="3" t="s">
        <v>13</v>
      </c>
      <c r="E838" s="3" t="s">
        <v>29</v>
      </c>
      <c r="F838" s="3">
        <v>220.0</v>
      </c>
      <c r="G838" s="4" t="s">
        <v>16</v>
      </c>
      <c r="H838" s="3">
        <v>19.910984161176714</v>
      </c>
      <c r="I838" s="3">
        <v>13.502090574103248</v>
      </c>
      <c r="J838" s="7">
        <v>5.277552600884634</v>
      </c>
    </row>
    <row r="839" ht="14.25" customHeight="1">
      <c r="A839" s="3" t="s">
        <v>10</v>
      </c>
      <c r="B839" s="6" t="s">
        <v>38</v>
      </c>
      <c r="C839" s="3" t="s">
        <v>40</v>
      </c>
      <c r="D839" s="3" t="s">
        <v>13</v>
      </c>
      <c r="E839" s="3" t="s">
        <v>29</v>
      </c>
      <c r="F839" s="3">
        <v>220.0</v>
      </c>
      <c r="G839" s="4" t="s">
        <v>17</v>
      </c>
      <c r="H839" s="3">
        <v>18.17754818790435</v>
      </c>
      <c r="I839" s="3">
        <v>12.921451796538781</v>
      </c>
      <c r="J839" s="7">
        <v>5.050598732230606</v>
      </c>
    </row>
    <row r="840" ht="14.25" customHeight="1">
      <c r="A840" s="3" t="s">
        <v>10</v>
      </c>
      <c r="B840" s="6" t="s">
        <v>38</v>
      </c>
      <c r="C840" s="3" t="s">
        <v>40</v>
      </c>
      <c r="D840" s="3" t="s">
        <v>13</v>
      </c>
      <c r="E840" s="3" t="s">
        <v>29</v>
      </c>
      <c r="F840" s="3">
        <v>220.0</v>
      </c>
      <c r="G840" s="4" t="s">
        <v>18</v>
      </c>
      <c r="H840" s="3">
        <v>19.288072280842925</v>
      </c>
      <c r="I840" s="3">
        <v>12.402056008326294</v>
      </c>
      <c r="J840" s="7">
        <v>4.847582867544674</v>
      </c>
    </row>
    <row r="841" ht="14.25" customHeight="1">
      <c r="A841" s="3" t="s">
        <v>10</v>
      </c>
      <c r="B841" s="6" t="s">
        <v>38</v>
      </c>
      <c r="C841" s="3" t="s">
        <v>40</v>
      </c>
      <c r="D841" s="3" t="s">
        <v>13</v>
      </c>
      <c r="E841" s="3" t="s">
        <v>29</v>
      </c>
      <c r="F841" s="3">
        <v>220.0</v>
      </c>
      <c r="G841" s="4" t="s">
        <v>19</v>
      </c>
      <c r="H841" s="3">
        <v>24.75185471031557</v>
      </c>
      <c r="I841" s="3">
        <v>17.744706528874605</v>
      </c>
      <c r="J841" s="7">
        <v>6.935860900904708</v>
      </c>
    </row>
    <row r="842" ht="14.25" customHeight="1">
      <c r="A842" s="3" t="s">
        <v>10</v>
      </c>
      <c r="B842" s="6" t="s">
        <v>38</v>
      </c>
      <c r="C842" s="3" t="s">
        <v>40</v>
      </c>
      <c r="D842" s="3" t="s">
        <v>13</v>
      </c>
      <c r="E842" s="3" t="s">
        <v>29</v>
      </c>
      <c r="F842" s="3">
        <v>220.0</v>
      </c>
      <c r="G842" s="4" t="s">
        <v>20</v>
      </c>
      <c r="H842" s="3">
        <v>30.541711065593887</v>
      </c>
      <c r="I842" s="3">
        <v>18.677347474854415</v>
      </c>
      <c r="J842" s="7">
        <v>7.300401608370237</v>
      </c>
    </row>
    <row r="843" ht="14.25" customHeight="1">
      <c r="A843" s="3" t="s">
        <v>10</v>
      </c>
      <c r="B843" s="6" t="s">
        <v>38</v>
      </c>
      <c r="C843" s="3" t="s">
        <v>40</v>
      </c>
      <c r="D843" s="3" t="s">
        <v>13</v>
      </c>
      <c r="E843" s="3" t="s">
        <v>29</v>
      </c>
      <c r="F843" s="3">
        <v>220.0</v>
      </c>
      <c r="G843" s="4" t="s">
        <v>21</v>
      </c>
      <c r="H843" s="3">
        <v>28.559470091518236</v>
      </c>
      <c r="I843" s="3">
        <v>18.928249433796527</v>
      </c>
      <c r="J843" s="7">
        <v>7.398471479751613</v>
      </c>
    </row>
    <row r="844" ht="14.25" customHeight="1">
      <c r="A844" s="3" t="s">
        <v>10</v>
      </c>
      <c r="B844" s="6" t="s">
        <v>38</v>
      </c>
      <c r="C844" s="3" t="s">
        <v>40</v>
      </c>
      <c r="D844" s="3" t="s">
        <v>13</v>
      </c>
      <c r="E844" s="3" t="s">
        <v>29</v>
      </c>
      <c r="F844" s="3">
        <v>220.0</v>
      </c>
      <c r="G844" s="4" t="s">
        <v>22</v>
      </c>
      <c r="H844" s="3">
        <v>26.041887094937778</v>
      </c>
      <c r="I844" s="3">
        <v>19.423012422202763</v>
      </c>
      <c r="J844" s="7">
        <v>7.591859139385071</v>
      </c>
    </row>
    <row r="845" ht="14.25" customHeight="1">
      <c r="A845" s="3" t="s">
        <v>23</v>
      </c>
      <c r="B845" s="6" t="s">
        <v>38</v>
      </c>
      <c r="C845" s="3" t="s">
        <v>40</v>
      </c>
      <c r="D845" s="3" t="s">
        <v>13</v>
      </c>
      <c r="E845" s="3" t="s">
        <v>29</v>
      </c>
      <c r="F845" s="3">
        <v>220.0</v>
      </c>
      <c r="G845" s="4" t="s">
        <v>15</v>
      </c>
      <c r="H845" s="3">
        <v>53.536137253911924</v>
      </c>
      <c r="I845" s="3">
        <v>38.29854913361142</v>
      </c>
      <c r="J845" s="7">
        <v>14.969726834588577</v>
      </c>
    </row>
    <row r="846" ht="14.25" customHeight="1">
      <c r="A846" s="3" t="s">
        <v>23</v>
      </c>
      <c r="B846" s="6" t="s">
        <v>38</v>
      </c>
      <c r="C846" s="3" t="s">
        <v>40</v>
      </c>
      <c r="D846" s="3" t="s">
        <v>13</v>
      </c>
      <c r="E846" s="3" t="s">
        <v>29</v>
      </c>
      <c r="F846" s="3">
        <v>220.0</v>
      </c>
      <c r="G846" s="4" t="s">
        <v>16</v>
      </c>
      <c r="H846" s="3">
        <v>75.22513871818332</v>
      </c>
      <c r="I846" s="3">
        <v>46.89789977020375</v>
      </c>
      <c r="J846" s="7">
        <v>18.330948940823856</v>
      </c>
    </row>
    <row r="847" ht="14.25" customHeight="1">
      <c r="A847" s="3" t="s">
        <v>23</v>
      </c>
      <c r="B847" s="6" t="s">
        <v>38</v>
      </c>
      <c r="C847" s="3" t="s">
        <v>40</v>
      </c>
      <c r="D847" s="3" t="s">
        <v>13</v>
      </c>
      <c r="E847" s="3" t="s">
        <v>29</v>
      </c>
      <c r="F847" s="3">
        <v>220.0</v>
      </c>
      <c r="G847" s="4" t="s">
        <v>17</v>
      </c>
      <c r="H847" s="3">
        <v>68.79111248054107</v>
      </c>
      <c r="I847" s="3">
        <v>43.527794740557525</v>
      </c>
      <c r="J847" s="7">
        <v>17.013678369511226</v>
      </c>
    </row>
    <row r="848" ht="14.25" customHeight="1">
      <c r="A848" s="3" t="s">
        <v>23</v>
      </c>
      <c r="B848" s="6" t="s">
        <v>38</v>
      </c>
      <c r="C848" s="3" t="s">
        <v>40</v>
      </c>
      <c r="D848" s="3" t="s">
        <v>13</v>
      </c>
      <c r="E848" s="3" t="s">
        <v>29</v>
      </c>
      <c r="F848" s="3">
        <v>220.0</v>
      </c>
      <c r="G848" s="4" t="s">
        <v>18</v>
      </c>
      <c r="H848" s="3">
        <v>75.98851022057153</v>
      </c>
      <c r="I848" s="3">
        <v>48.88614211633571</v>
      </c>
      <c r="J848" s="7">
        <v>19.108091821582125</v>
      </c>
    </row>
    <row r="849" ht="14.25" customHeight="1">
      <c r="A849" s="3" t="s">
        <v>23</v>
      </c>
      <c r="B849" s="6" t="s">
        <v>38</v>
      </c>
      <c r="C849" s="3" t="s">
        <v>40</v>
      </c>
      <c r="D849" s="3" t="s">
        <v>13</v>
      </c>
      <c r="E849" s="3" t="s">
        <v>29</v>
      </c>
      <c r="F849" s="3">
        <v>220.0</v>
      </c>
      <c r="G849" s="4" t="s">
        <v>19</v>
      </c>
      <c r="H849" s="3">
        <v>91.29472230886518</v>
      </c>
      <c r="I849" s="3">
        <v>59.9715461103043</v>
      </c>
      <c r="J849" s="7">
        <v>23.441035846741833</v>
      </c>
    </row>
    <row r="850" ht="14.25" customHeight="1">
      <c r="A850" s="3" t="s">
        <v>23</v>
      </c>
      <c r="B850" s="6" t="s">
        <v>38</v>
      </c>
      <c r="C850" s="3" t="s">
        <v>40</v>
      </c>
      <c r="D850" s="3" t="s">
        <v>13</v>
      </c>
      <c r="E850" s="3" t="s">
        <v>29</v>
      </c>
      <c r="F850" s="3">
        <v>220.0</v>
      </c>
      <c r="G850" s="4" t="s">
        <v>20</v>
      </c>
      <c r="H850" s="3">
        <v>94.07922255577763</v>
      </c>
      <c r="I850" s="3">
        <v>59.9715461103043</v>
      </c>
      <c r="J850" s="7">
        <v>23.441035846741833</v>
      </c>
    </row>
    <row r="851" ht="14.25" customHeight="1">
      <c r="A851" s="3" t="s">
        <v>23</v>
      </c>
      <c r="B851" s="6" t="s">
        <v>38</v>
      </c>
      <c r="C851" s="3" t="s">
        <v>40</v>
      </c>
      <c r="D851" s="3" t="s">
        <v>13</v>
      </c>
      <c r="E851" s="3" t="s">
        <v>29</v>
      </c>
      <c r="F851" s="3">
        <v>220.0</v>
      </c>
      <c r="G851" s="4" t="s">
        <v>21</v>
      </c>
      <c r="H851" s="3">
        <v>95.33305063518388</v>
      </c>
      <c r="I851" s="3">
        <v>59.9715461103043</v>
      </c>
      <c r="J851" s="7">
        <v>23.441035846741833</v>
      </c>
    </row>
    <row r="852" ht="14.25" customHeight="1">
      <c r="A852" s="3" t="s">
        <v>23</v>
      </c>
      <c r="B852" s="6" t="s">
        <v>38</v>
      </c>
      <c r="C852" s="3" t="s">
        <v>40</v>
      </c>
      <c r="D852" s="3" t="s">
        <v>13</v>
      </c>
      <c r="E852" s="3" t="s">
        <v>29</v>
      </c>
      <c r="F852" s="3">
        <v>220.0</v>
      </c>
      <c r="G852" s="4" t="s">
        <v>22</v>
      </c>
      <c r="H852" s="3">
        <v>84.40907343124742</v>
      </c>
      <c r="I852" s="3">
        <v>59.9715461103043</v>
      </c>
      <c r="J852" s="7">
        <v>23.441035846741833</v>
      </c>
    </row>
    <row r="853" ht="14.25" customHeight="1">
      <c r="A853" s="3" t="s">
        <v>24</v>
      </c>
      <c r="B853" s="6" t="s">
        <v>38</v>
      </c>
      <c r="C853" s="3" t="s">
        <v>40</v>
      </c>
      <c r="D853" s="3" t="s">
        <v>13</v>
      </c>
      <c r="E853" s="3" t="s">
        <v>29</v>
      </c>
      <c r="F853" s="3">
        <v>220.0</v>
      </c>
      <c r="G853" s="4" t="s">
        <v>15</v>
      </c>
      <c r="H853" s="3">
        <v>0.4886400445194601</v>
      </c>
      <c r="I853" s="3">
        <v>59.9715461103043</v>
      </c>
      <c r="J853" s="7">
        <v>23.441035846741833</v>
      </c>
    </row>
    <row r="854" ht="14.25" customHeight="1">
      <c r="A854" s="3" t="s">
        <v>24</v>
      </c>
      <c r="B854" s="6" t="s">
        <v>38</v>
      </c>
      <c r="C854" s="3" t="s">
        <v>40</v>
      </c>
      <c r="D854" s="3" t="s">
        <v>13</v>
      </c>
      <c r="E854" s="3" t="s">
        <v>29</v>
      </c>
      <c r="F854" s="3">
        <v>220.0</v>
      </c>
      <c r="G854" s="4" t="s">
        <v>16</v>
      </c>
      <c r="H854" s="3">
        <v>1.6449703115120164</v>
      </c>
      <c r="I854" s="3">
        <v>59.9715461103043</v>
      </c>
      <c r="J854" s="7">
        <v>23.441035846741833</v>
      </c>
    </row>
    <row r="855" ht="14.25" customHeight="1">
      <c r="A855" s="3" t="s">
        <v>24</v>
      </c>
      <c r="B855" s="6" t="s">
        <v>38</v>
      </c>
      <c r="C855" s="3" t="s">
        <v>40</v>
      </c>
      <c r="D855" s="3" t="s">
        <v>13</v>
      </c>
      <c r="E855" s="3" t="s">
        <v>29</v>
      </c>
      <c r="F855" s="3">
        <v>220.0</v>
      </c>
      <c r="G855" s="4" t="s">
        <v>17</v>
      </c>
      <c r="H855" s="3">
        <v>2.3570345473144507</v>
      </c>
      <c r="I855" s="3">
        <v>59.9715461103043</v>
      </c>
      <c r="J855" s="7">
        <v>23.441035846741833</v>
      </c>
    </row>
    <row r="856" ht="14.25" customHeight="1">
      <c r="A856" s="3" t="s">
        <v>24</v>
      </c>
      <c r="B856" s="6" t="s">
        <v>38</v>
      </c>
      <c r="C856" s="3" t="s">
        <v>40</v>
      </c>
      <c r="D856" s="3" t="s">
        <v>13</v>
      </c>
      <c r="E856" s="3" t="s">
        <v>29</v>
      </c>
      <c r="F856" s="3">
        <v>220.0</v>
      </c>
      <c r="G856" s="4" t="s">
        <v>18</v>
      </c>
      <c r="H856" s="3">
        <v>2.207673811405275</v>
      </c>
      <c r="I856" s="3">
        <v>59.9715461103043</v>
      </c>
      <c r="J856" s="7">
        <v>23.441035846741833</v>
      </c>
    </row>
    <row r="857" ht="14.25" customHeight="1">
      <c r="A857" s="3" t="s">
        <v>24</v>
      </c>
      <c r="B857" s="6" t="s">
        <v>38</v>
      </c>
      <c r="C857" s="3" t="s">
        <v>40</v>
      </c>
      <c r="D857" s="3" t="s">
        <v>13</v>
      </c>
      <c r="E857" s="3" t="s">
        <v>29</v>
      </c>
      <c r="F857" s="3">
        <v>220.0</v>
      </c>
      <c r="G857" s="4" t="s">
        <v>19</v>
      </c>
      <c r="H857" s="3">
        <v>2.059393322019641</v>
      </c>
      <c r="I857" s="3">
        <v>59.9715461103043</v>
      </c>
      <c r="J857" s="7">
        <v>23.441035846741833</v>
      </c>
    </row>
    <row r="858" ht="14.25" customHeight="1">
      <c r="A858" s="3" t="s">
        <v>24</v>
      </c>
      <c r="B858" s="6" t="s">
        <v>38</v>
      </c>
      <c r="C858" s="3" t="s">
        <v>40</v>
      </c>
      <c r="D858" s="3" t="s">
        <v>13</v>
      </c>
      <c r="E858" s="3" t="s">
        <v>29</v>
      </c>
      <c r="F858" s="3">
        <v>220.0</v>
      </c>
      <c r="G858" s="4" t="s">
        <v>20</v>
      </c>
      <c r="H858" s="3">
        <v>2.0449027026814828</v>
      </c>
      <c r="I858" s="3">
        <v>59.9715461103043</v>
      </c>
      <c r="J858" s="7">
        <v>23.441035846741833</v>
      </c>
    </row>
    <row r="859" ht="14.25" customHeight="1">
      <c r="A859" s="3" t="s">
        <v>24</v>
      </c>
      <c r="B859" s="6" t="s">
        <v>38</v>
      </c>
      <c r="C859" s="3" t="s">
        <v>40</v>
      </c>
      <c r="D859" s="3" t="s">
        <v>13</v>
      </c>
      <c r="E859" s="3" t="s">
        <v>29</v>
      </c>
      <c r="F859" s="3">
        <v>220.0</v>
      </c>
      <c r="G859" s="4" t="s">
        <v>21</v>
      </c>
      <c r="H859" s="3">
        <v>3.4102743749022646</v>
      </c>
      <c r="I859" s="3">
        <v>59.9715461103043</v>
      </c>
      <c r="J859" s="7">
        <v>23.441035846741833</v>
      </c>
    </row>
    <row r="860" ht="14.25" customHeight="1">
      <c r="A860" s="3" t="s">
        <v>24</v>
      </c>
      <c r="B860" s="6" t="s">
        <v>38</v>
      </c>
      <c r="C860" s="3" t="s">
        <v>40</v>
      </c>
      <c r="D860" s="3" t="s">
        <v>13</v>
      </c>
      <c r="E860" s="3" t="s">
        <v>29</v>
      </c>
      <c r="F860" s="3">
        <v>220.0</v>
      </c>
      <c r="G860" s="4" t="s">
        <v>22</v>
      </c>
      <c r="H860" s="3">
        <v>1.7345298974249757</v>
      </c>
      <c r="I860" s="3">
        <v>59.9715461103043</v>
      </c>
      <c r="J860" s="7">
        <v>23.441035846741833</v>
      </c>
    </row>
    <row r="861" ht="14.25" customHeight="1">
      <c r="A861" s="3" t="s">
        <v>25</v>
      </c>
      <c r="B861" s="6" t="s">
        <v>38</v>
      </c>
      <c r="C861" s="3" t="s">
        <v>40</v>
      </c>
      <c r="D861" s="3" t="s">
        <v>13</v>
      </c>
      <c r="E861" s="3" t="s">
        <v>29</v>
      </c>
      <c r="F861" s="3">
        <v>220.0</v>
      </c>
      <c r="G861" s="4" t="s">
        <v>15</v>
      </c>
      <c r="H861" s="3">
        <v>6.567908190858635</v>
      </c>
      <c r="I861" s="3">
        <v>59.9715461103043</v>
      </c>
      <c r="J861" s="7">
        <v>23.441035846741833</v>
      </c>
    </row>
    <row r="862" ht="14.25" customHeight="1">
      <c r="A862" s="3" t="s">
        <v>25</v>
      </c>
      <c r="B862" s="6" t="s">
        <v>38</v>
      </c>
      <c r="C862" s="3" t="s">
        <v>40</v>
      </c>
      <c r="D862" s="3" t="s">
        <v>13</v>
      </c>
      <c r="E862" s="3" t="s">
        <v>29</v>
      </c>
      <c r="F862" s="3">
        <v>220.0</v>
      </c>
      <c r="G862" s="4" t="s">
        <v>16</v>
      </c>
      <c r="H862" s="3">
        <v>8.79893509153541</v>
      </c>
      <c r="I862" s="3">
        <v>59.9715461103043</v>
      </c>
      <c r="J862" s="7">
        <v>23.441035846741833</v>
      </c>
    </row>
    <row r="863" ht="14.25" customHeight="1">
      <c r="A863" s="3" t="s">
        <v>25</v>
      </c>
      <c r="B863" s="6" t="s">
        <v>38</v>
      </c>
      <c r="C863" s="3" t="s">
        <v>40</v>
      </c>
      <c r="D863" s="3" t="s">
        <v>13</v>
      </c>
      <c r="E863" s="3" t="s">
        <v>29</v>
      </c>
      <c r="F863" s="3">
        <v>220.0</v>
      </c>
      <c r="G863" s="4" t="s">
        <v>17</v>
      </c>
      <c r="H863" s="3">
        <v>8.01890917056193</v>
      </c>
      <c r="I863" s="3">
        <v>59.9715461103043</v>
      </c>
      <c r="J863" s="7">
        <v>23.441035846741833</v>
      </c>
    </row>
    <row r="864" ht="14.25" customHeight="1">
      <c r="A864" s="3" t="s">
        <v>25</v>
      </c>
      <c r="B864" s="6" t="s">
        <v>38</v>
      </c>
      <c r="C864" s="3" t="s">
        <v>40</v>
      </c>
      <c r="D864" s="3" t="s">
        <v>13</v>
      </c>
      <c r="E864" s="3" t="s">
        <v>29</v>
      </c>
      <c r="F864" s="3">
        <v>220.0</v>
      </c>
      <c r="G864" s="4" t="s">
        <v>18</v>
      </c>
      <c r="H864" s="3">
        <v>8.940811031588707</v>
      </c>
      <c r="I864" s="3">
        <v>59.9715461103043</v>
      </c>
      <c r="J864" s="7">
        <v>23.441035846741833</v>
      </c>
    </row>
    <row r="865" ht="14.25" customHeight="1">
      <c r="A865" s="3" t="s">
        <v>25</v>
      </c>
      <c r="B865" s="6" t="s">
        <v>38</v>
      </c>
      <c r="C865" s="3" t="s">
        <v>40</v>
      </c>
      <c r="D865" s="3" t="s">
        <v>13</v>
      </c>
      <c r="E865" s="3" t="s">
        <v>29</v>
      </c>
      <c r="F865" s="3">
        <v>220.0</v>
      </c>
      <c r="G865" s="4" t="s">
        <v>19</v>
      </c>
      <c r="H865" s="3">
        <v>10.361899744402107</v>
      </c>
      <c r="I865" s="3">
        <v>59.9715461103043</v>
      </c>
      <c r="J865" s="7">
        <v>23.441035846741833</v>
      </c>
    </row>
    <row r="866" ht="14.25" customHeight="1">
      <c r="A866" s="3" t="s">
        <v>25</v>
      </c>
      <c r="B866" s="6" t="s">
        <v>38</v>
      </c>
      <c r="C866" s="3" t="s">
        <v>40</v>
      </c>
      <c r="D866" s="3" t="s">
        <v>13</v>
      </c>
      <c r="E866" s="3" t="s">
        <v>29</v>
      </c>
      <c r="F866" s="3">
        <v>220.0</v>
      </c>
      <c r="G866" s="4" t="s">
        <v>20</v>
      </c>
      <c r="H866" s="3">
        <v>10.645269419825107</v>
      </c>
      <c r="I866" s="3">
        <v>59.9715461103043</v>
      </c>
      <c r="J866" s="7">
        <v>23.441035846741833</v>
      </c>
    </row>
    <row r="867" ht="14.25" customHeight="1">
      <c r="A867" s="3" t="s">
        <v>25</v>
      </c>
      <c r="B867" s="6" t="s">
        <v>38</v>
      </c>
      <c r="C867" s="3" t="s">
        <v>40</v>
      </c>
      <c r="D867" s="3" t="s">
        <v>13</v>
      </c>
      <c r="E867" s="3" t="s">
        <v>29</v>
      </c>
      <c r="F867" s="3">
        <v>220.0</v>
      </c>
      <c r="G867" s="4" t="s">
        <v>21</v>
      </c>
      <c r="H867" s="3">
        <v>10.78486528052279</v>
      </c>
      <c r="I867" s="3">
        <v>59.9715461103043</v>
      </c>
      <c r="J867" s="7">
        <v>23.441035846741833</v>
      </c>
    </row>
    <row r="868" ht="14.25" customHeight="1">
      <c r="A868" s="3" t="s">
        <v>25</v>
      </c>
      <c r="B868" s="6" t="s">
        <v>38</v>
      </c>
      <c r="C868" s="3" t="s">
        <v>40</v>
      </c>
      <c r="D868" s="3" t="s">
        <v>13</v>
      </c>
      <c r="E868" s="3" t="s">
        <v>29</v>
      </c>
      <c r="F868" s="3">
        <v>220.0</v>
      </c>
      <c r="G868" s="4" t="s">
        <v>22</v>
      </c>
      <c r="H868" s="3">
        <v>6.699070778579422</v>
      </c>
      <c r="I868" s="3">
        <v>59.9715461103043</v>
      </c>
      <c r="J868" s="7">
        <v>23.441035846741833</v>
      </c>
    </row>
    <row r="869" ht="14.25" customHeight="1">
      <c r="A869" s="3" t="s">
        <v>26</v>
      </c>
      <c r="B869" s="6" t="s">
        <v>38</v>
      </c>
      <c r="C869" s="3" t="s">
        <v>40</v>
      </c>
      <c r="D869" s="3" t="s">
        <v>13</v>
      </c>
      <c r="E869" s="3" t="s">
        <v>29</v>
      </c>
      <c r="F869" s="3">
        <v>220.0</v>
      </c>
      <c r="G869" s="4" t="s">
        <v>15</v>
      </c>
      <c r="H869" s="3">
        <v>46.2816343799325</v>
      </c>
      <c r="I869" s="3">
        <v>59.9715461103043</v>
      </c>
      <c r="J869" s="7">
        <v>23.441035846741833</v>
      </c>
    </row>
    <row r="870" ht="14.25" customHeight="1">
      <c r="A870" s="3" t="s">
        <v>26</v>
      </c>
      <c r="B870" s="6" t="s">
        <v>38</v>
      </c>
      <c r="C870" s="3" t="s">
        <v>40</v>
      </c>
      <c r="D870" s="3" t="s">
        <v>13</v>
      </c>
      <c r="E870" s="3" t="s">
        <v>29</v>
      </c>
      <c r="F870" s="3">
        <v>220.0</v>
      </c>
      <c r="G870" s="4" t="s">
        <v>16</v>
      </c>
      <c r="H870" s="3">
        <v>63.385983111183165</v>
      </c>
      <c r="I870" s="3">
        <v>59.9715461103043</v>
      </c>
      <c r="J870" s="7">
        <v>23.441035846741833</v>
      </c>
    </row>
    <row r="871" ht="14.25" customHeight="1">
      <c r="A871" s="3" t="s">
        <v>26</v>
      </c>
      <c r="B871" s="6" t="s">
        <v>38</v>
      </c>
      <c r="C871" s="3" t="s">
        <v>40</v>
      </c>
      <c r="D871" s="3" t="s">
        <v>13</v>
      </c>
      <c r="E871" s="3" t="s">
        <v>29</v>
      </c>
      <c r="F871" s="3">
        <v>220.0</v>
      </c>
      <c r="G871" s="4" t="s">
        <v>17</v>
      </c>
      <c r="H871" s="3">
        <v>56.974201656966656</v>
      </c>
      <c r="I871" s="3">
        <v>59.9715461103043</v>
      </c>
      <c r="J871" s="7">
        <v>23.441035846741833</v>
      </c>
    </row>
    <row r="872" ht="14.25" customHeight="1">
      <c r="A872" s="3" t="s">
        <v>26</v>
      </c>
      <c r="B872" s="6" t="s">
        <v>38</v>
      </c>
      <c r="C872" s="3" t="s">
        <v>40</v>
      </c>
      <c r="D872" s="3" t="s">
        <v>13</v>
      </c>
      <c r="E872" s="3" t="s">
        <v>29</v>
      </c>
      <c r="F872" s="3">
        <v>220.0</v>
      </c>
      <c r="G872" s="4" t="s">
        <v>18</v>
      </c>
      <c r="H872" s="3">
        <v>62.77595153584816</v>
      </c>
      <c r="I872" s="3">
        <v>59.9715461103043</v>
      </c>
      <c r="J872" s="7">
        <v>23.441035846741833</v>
      </c>
    </row>
    <row r="873" ht="14.25" customHeight="1">
      <c r="A873" s="3" t="s">
        <v>26</v>
      </c>
      <c r="B873" s="6" t="s">
        <v>38</v>
      </c>
      <c r="C873" s="3" t="s">
        <v>40</v>
      </c>
      <c r="D873" s="3" t="s">
        <v>13</v>
      </c>
      <c r="E873" s="3" t="s">
        <v>29</v>
      </c>
      <c r="F873" s="3">
        <v>220.0</v>
      </c>
      <c r="G873" s="4" t="s">
        <v>19</v>
      </c>
      <c r="H873" s="3">
        <v>75.95711218609922</v>
      </c>
      <c r="I873" s="3">
        <v>59.9715461103043</v>
      </c>
      <c r="J873" s="7">
        <v>23.441035846741833</v>
      </c>
    </row>
    <row r="874" ht="14.25" customHeight="1">
      <c r="A874" s="3" t="s">
        <v>26</v>
      </c>
      <c r="B874" s="6" t="s">
        <v>38</v>
      </c>
      <c r="C874" s="3" t="s">
        <v>40</v>
      </c>
      <c r="D874" s="3" t="s">
        <v>13</v>
      </c>
      <c r="E874" s="3" t="s">
        <v>29</v>
      </c>
      <c r="F874" s="3">
        <v>220.0</v>
      </c>
      <c r="G874" s="4" t="s">
        <v>20</v>
      </c>
      <c r="H874" s="3">
        <v>78.63691735678388</v>
      </c>
      <c r="I874" s="3">
        <v>59.9715461103043</v>
      </c>
      <c r="J874" s="7">
        <v>23.441035846741833</v>
      </c>
    </row>
    <row r="875" ht="14.25" customHeight="1">
      <c r="A875" s="3" t="s">
        <v>26</v>
      </c>
      <c r="B875" s="6" t="s">
        <v>38</v>
      </c>
      <c r="C875" s="3" t="s">
        <v>40</v>
      </c>
      <c r="D875" s="3" t="s">
        <v>13</v>
      </c>
      <c r="E875" s="3" t="s">
        <v>29</v>
      </c>
      <c r="F875" s="3">
        <v>220.0</v>
      </c>
      <c r="G875" s="4" t="s">
        <v>21</v>
      </c>
      <c r="H875" s="3">
        <v>78.00086600256466</v>
      </c>
      <c r="I875" s="3">
        <v>59.9715461103043</v>
      </c>
      <c r="J875" s="7">
        <v>23.441035846741833</v>
      </c>
    </row>
    <row r="876" ht="14.25" customHeight="1">
      <c r="A876" s="3" t="s">
        <v>26</v>
      </c>
      <c r="B876" s="6" t="s">
        <v>38</v>
      </c>
      <c r="C876" s="3" t="s">
        <v>40</v>
      </c>
      <c r="D876" s="3" t="s">
        <v>13</v>
      </c>
      <c r="E876" s="3" t="s">
        <v>29</v>
      </c>
      <c r="F876" s="3">
        <v>220.0</v>
      </c>
      <c r="G876" s="4" t="s">
        <v>22</v>
      </c>
      <c r="H876" s="3">
        <v>73.26973252514576</v>
      </c>
      <c r="I876" s="3">
        <v>59.9715461103043</v>
      </c>
      <c r="J876" s="7">
        <v>23.441035846741833</v>
      </c>
    </row>
    <row r="877" ht="14.25" customHeight="1">
      <c r="A877" s="3" t="s">
        <v>10</v>
      </c>
      <c r="B877" s="3" t="s">
        <v>41</v>
      </c>
      <c r="C877" s="3" t="s">
        <v>42</v>
      </c>
      <c r="D877" s="3" t="s">
        <v>37</v>
      </c>
      <c r="E877" s="3" t="s">
        <v>43</v>
      </c>
      <c r="F877" s="3">
        <v>237.0</v>
      </c>
      <c r="G877" s="4" t="s">
        <v>15</v>
      </c>
      <c r="H877" s="3">
        <v>23.180860413438822</v>
      </c>
      <c r="I877" s="3"/>
      <c r="J877" s="7"/>
    </row>
    <row r="878" ht="14.25" customHeight="1">
      <c r="A878" s="3" t="s">
        <v>10</v>
      </c>
      <c r="B878" s="3" t="s">
        <v>41</v>
      </c>
      <c r="C878" s="3" t="s">
        <v>42</v>
      </c>
      <c r="D878" s="3" t="s">
        <v>37</v>
      </c>
      <c r="E878" s="3" t="s">
        <v>43</v>
      </c>
      <c r="F878" s="3">
        <v>237.0</v>
      </c>
      <c r="G878" s="4" t="s">
        <v>16</v>
      </c>
      <c r="H878" s="3">
        <v>25.852943980015134</v>
      </c>
      <c r="I878" s="3"/>
      <c r="J878" s="7"/>
    </row>
    <row r="879" ht="14.25" customHeight="1">
      <c r="A879" s="3" t="s">
        <v>10</v>
      </c>
      <c r="B879" s="3" t="s">
        <v>41</v>
      </c>
      <c r="C879" s="3" t="s">
        <v>42</v>
      </c>
      <c r="D879" s="3" t="s">
        <v>37</v>
      </c>
      <c r="E879" s="3" t="s">
        <v>43</v>
      </c>
      <c r="F879" s="3">
        <v>237.0</v>
      </c>
      <c r="G879" s="4" t="s">
        <v>17</v>
      </c>
      <c r="H879" s="3">
        <v>27.059792842086047</v>
      </c>
      <c r="I879" s="3"/>
      <c r="J879" s="7"/>
    </row>
    <row r="880" ht="14.25" customHeight="1">
      <c r="A880" s="3" t="s">
        <v>10</v>
      </c>
      <c r="B880" s="3" t="s">
        <v>41</v>
      </c>
      <c r="C880" s="3" t="s">
        <v>42</v>
      </c>
      <c r="D880" s="3" t="s">
        <v>37</v>
      </c>
      <c r="E880" s="3" t="s">
        <v>43</v>
      </c>
      <c r="F880" s="3">
        <v>237.0</v>
      </c>
      <c r="G880" s="4" t="s">
        <v>18</v>
      </c>
      <c r="H880" s="3">
        <v>27.74663632681682</v>
      </c>
      <c r="I880" s="3"/>
      <c r="J880" s="7"/>
    </row>
    <row r="881" ht="14.25" customHeight="1">
      <c r="A881" s="3" t="s">
        <v>10</v>
      </c>
      <c r="B881" s="3" t="s">
        <v>41</v>
      </c>
      <c r="C881" s="3" t="s">
        <v>42</v>
      </c>
      <c r="D881" s="3" t="s">
        <v>37</v>
      </c>
      <c r="E881" s="3" t="s">
        <v>43</v>
      </c>
      <c r="F881" s="3">
        <v>237.0</v>
      </c>
      <c r="G881" s="4" t="s">
        <v>19</v>
      </c>
      <c r="H881" s="3">
        <v>30.25100465385667</v>
      </c>
      <c r="I881" s="3"/>
      <c r="J881" s="7"/>
    </row>
    <row r="882" ht="14.25" customHeight="1">
      <c r="A882" s="3" t="s">
        <v>10</v>
      </c>
      <c r="B882" s="3" t="s">
        <v>41</v>
      </c>
      <c r="C882" s="3" t="s">
        <v>42</v>
      </c>
      <c r="D882" s="3" t="s">
        <v>37</v>
      </c>
      <c r="E882" s="3" t="s">
        <v>43</v>
      </c>
      <c r="F882" s="3">
        <v>237.0</v>
      </c>
      <c r="G882" s="4" t="s">
        <v>20</v>
      </c>
      <c r="H882" s="3">
        <v>32.99738062791223</v>
      </c>
      <c r="I882" s="3"/>
      <c r="J882" s="7"/>
    </row>
    <row r="883" ht="14.25" customHeight="1">
      <c r="A883" s="3" t="s">
        <v>10</v>
      </c>
      <c r="B883" s="3" t="s">
        <v>41</v>
      </c>
      <c r="C883" s="3" t="s">
        <v>42</v>
      </c>
      <c r="D883" s="3" t="s">
        <v>37</v>
      </c>
      <c r="E883" s="3" t="s">
        <v>43</v>
      </c>
      <c r="F883" s="3">
        <v>237.0</v>
      </c>
      <c r="G883" s="4" t="s">
        <v>21</v>
      </c>
      <c r="H883" s="3">
        <v>36.8804718048594</v>
      </c>
      <c r="I883" s="3"/>
      <c r="J883" s="7"/>
    </row>
    <row r="884" ht="14.25" customHeight="1">
      <c r="A884" s="3" t="s">
        <v>10</v>
      </c>
      <c r="B884" s="3" t="s">
        <v>41</v>
      </c>
      <c r="C884" s="3" t="s">
        <v>42</v>
      </c>
      <c r="D884" s="3" t="s">
        <v>37</v>
      </c>
      <c r="E884" s="3" t="s">
        <v>43</v>
      </c>
      <c r="F884" s="3">
        <v>237.0</v>
      </c>
      <c r="G884" s="4" t="s">
        <v>22</v>
      </c>
      <c r="H884" s="3">
        <v>41.97629531345383</v>
      </c>
      <c r="I884" s="3"/>
      <c r="J884" s="7"/>
    </row>
    <row r="885" ht="14.25" customHeight="1">
      <c r="A885" s="3" t="s">
        <v>23</v>
      </c>
      <c r="B885" s="3" t="s">
        <v>41</v>
      </c>
      <c r="C885" s="3" t="s">
        <v>42</v>
      </c>
      <c r="D885" s="3" t="s">
        <v>37</v>
      </c>
      <c r="E885" s="3" t="s">
        <v>43</v>
      </c>
      <c r="F885" s="3">
        <v>237.0</v>
      </c>
      <c r="G885" s="4" t="s">
        <v>15</v>
      </c>
      <c r="H885" s="3">
        <v>37.09681554464899</v>
      </c>
      <c r="I885" s="3"/>
      <c r="J885" s="7"/>
    </row>
    <row r="886" ht="14.25" customHeight="1">
      <c r="A886" s="3" t="s">
        <v>23</v>
      </c>
      <c r="B886" s="3" t="s">
        <v>41</v>
      </c>
      <c r="C886" s="3" t="s">
        <v>42</v>
      </c>
      <c r="D886" s="3" t="s">
        <v>37</v>
      </c>
      <c r="E886" s="3" t="s">
        <v>43</v>
      </c>
      <c r="F886" s="3">
        <v>237.0</v>
      </c>
      <c r="G886" s="4" t="s">
        <v>16</v>
      </c>
      <c r="H886" s="3">
        <v>53.325548767141676</v>
      </c>
      <c r="I886" s="3"/>
      <c r="J886" s="7"/>
    </row>
    <row r="887" ht="14.25" customHeight="1">
      <c r="A887" s="3" t="s">
        <v>23</v>
      </c>
      <c r="B887" s="3" t="s">
        <v>41</v>
      </c>
      <c r="C887" s="3" t="s">
        <v>42</v>
      </c>
      <c r="D887" s="3" t="s">
        <v>37</v>
      </c>
      <c r="E887" s="3" t="s">
        <v>43</v>
      </c>
      <c r="F887" s="3">
        <v>237.0</v>
      </c>
      <c r="G887" s="4" t="s">
        <v>17</v>
      </c>
      <c r="H887" s="3">
        <v>46.96610317951903</v>
      </c>
      <c r="I887" s="3"/>
      <c r="J887" s="7"/>
    </row>
    <row r="888" ht="14.25" customHeight="1">
      <c r="A888" s="3" t="s">
        <v>23</v>
      </c>
      <c r="B888" s="3" t="s">
        <v>41</v>
      </c>
      <c r="C888" s="3" t="s">
        <v>42</v>
      </c>
      <c r="D888" s="3" t="s">
        <v>37</v>
      </c>
      <c r="E888" s="3" t="s">
        <v>43</v>
      </c>
      <c r="F888" s="3">
        <v>237.0</v>
      </c>
      <c r="G888" s="4" t="s">
        <v>18</v>
      </c>
      <c r="H888" s="3">
        <v>53.35321858519003</v>
      </c>
      <c r="I888" s="3"/>
      <c r="J888" s="7"/>
    </row>
    <row r="889" ht="14.25" customHeight="1">
      <c r="A889" s="3" t="s">
        <v>23</v>
      </c>
      <c r="B889" s="3" t="s">
        <v>41</v>
      </c>
      <c r="C889" s="3" t="s">
        <v>42</v>
      </c>
      <c r="D889" s="3" t="s">
        <v>37</v>
      </c>
      <c r="E889" s="3" t="s">
        <v>43</v>
      </c>
      <c r="F889" s="3">
        <v>237.0</v>
      </c>
      <c r="G889" s="4" t="s">
        <v>19</v>
      </c>
      <c r="H889" s="3">
        <v>46.716826416343835</v>
      </c>
      <c r="I889" s="3"/>
      <c r="J889" s="7"/>
    </row>
    <row r="890" ht="14.25" customHeight="1">
      <c r="A890" s="3" t="s">
        <v>23</v>
      </c>
      <c r="B890" s="3" t="s">
        <v>41</v>
      </c>
      <c r="C890" s="3" t="s">
        <v>42</v>
      </c>
      <c r="D890" s="3" t="s">
        <v>37</v>
      </c>
      <c r="E890" s="3" t="s">
        <v>43</v>
      </c>
      <c r="F890" s="3">
        <v>237.0</v>
      </c>
      <c r="G890" s="4" t="s">
        <v>20</v>
      </c>
      <c r="H890" s="3">
        <v>53.64197919905221</v>
      </c>
      <c r="I890" s="3"/>
      <c r="J890" s="7"/>
    </row>
    <row r="891" ht="14.25" customHeight="1">
      <c r="A891" s="3" t="s">
        <v>23</v>
      </c>
      <c r="B891" s="3" t="s">
        <v>41</v>
      </c>
      <c r="C891" s="3" t="s">
        <v>42</v>
      </c>
      <c r="D891" s="3" t="s">
        <v>37</v>
      </c>
      <c r="E891" s="3" t="s">
        <v>43</v>
      </c>
      <c r="F891" s="3">
        <v>237.0</v>
      </c>
      <c r="G891" s="4" t="s">
        <v>21</v>
      </c>
      <c r="H891" s="3">
        <v>62.37981708823695</v>
      </c>
      <c r="I891" s="3"/>
      <c r="J891" s="7"/>
    </row>
    <row r="892" ht="14.25" customHeight="1">
      <c r="A892" s="3" t="s">
        <v>23</v>
      </c>
      <c r="B892" s="3" t="s">
        <v>41</v>
      </c>
      <c r="C892" s="3" t="s">
        <v>42</v>
      </c>
      <c r="D892" s="3" t="s">
        <v>37</v>
      </c>
      <c r="E892" s="3" t="s">
        <v>43</v>
      </c>
      <c r="F892" s="3">
        <v>237.0</v>
      </c>
      <c r="G892" s="4" t="s">
        <v>22</v>
      </c>
      <c r="H892" s="3">
        <v>66.00102181449424</v>
      </c>
      <c r="I892" s="3"/>
      <c r="J892" s="7"/>
    </row>
    <row r="893" ht="14.25" customHeight="1">
      <c r="A893" s="3" t="s">
        <v>24</v>
      </c>
      <c r="B893" s="3" t="s">
        <v>41</v>
      </c>
      <c r="C893" s="3" t="s">
        <v>42</v>
      </c>
      <c r="D893" s="3" t="s">
        <v>37</v>
      </c>
      <c r="E893" s="3" t="s">
        <v>43</v>
      </c>
      <c r="F893" s="3">
        <v>237.0</v>
      </c>
      <c r="G893" s="4" t="s">
        <v>15</v>
      </c>
      <c r="H893" s="3">
        <v>2.963515513470063</v>
      </c>
      <c r="I893" s="3"/>
      <c r="J893" s="7"/>
    </row>
    <row r="894" ht="14.25" customHeight="1">
      <c r="A894" s="3" t="s">
        <v>24</v>
      </c>
      <c r="B894" s="3" t="s">
        <v>41</v>
      </c>
      <c r="C894" s="3" t="s">
        <v>42</v>
      </c>
      <c r="D894" s="3" t="s">
        <v>37</v>
      </c>
      <c r="E894" s="3" t="s">
        <v>43</v>
      </c>
      <c r="F894" s="3">
        <v>237.0</v>
      </c>
      <c r="G894" s="4" t="s">
        <v>16</v>
      </c>
      <c r="H894" s="3">
        <v>3.4906811321057583</v>
      </c>
      <c r="I894" s="3"/>
      <c r="J894" s="7"/>
    </row>
    <row r="895" ht="14.25" customHeight="1">
      <c r="A895" s="3" t="s">
        <v>24</v>
      </c>
      <c r="B895" s="3" t="s">
        <v>41</v>
      </c>
      <c r="C895" s="3" t="s">
        <v>42</v>
      </c>
      <c r="D895" s="3" t="s">
        <v>37</v>
      </c>
      <c r="E895" s="3" t="s">
        <v>43</v>
      </c>
      <c r="F895" s="3">
        <v>237.0</v>
      </c>
      <c r="G895" s="4" t="s">
        <v>17</v>
      </c>
      <c r="H895" s="3">
        <v>3.4283456970270465</v>
      </c>
      <c r="I895" s="3"/>
      <c r="J895" s="7"/>
    </row>
    <row r="896" ht="14.25" customHeight="1">
      <c r="A896" s="3" t="s">
        <v>24</v>
      </c>
      <c r="B896" s="3" t="s">
        <v>41</v>
      </c>
      <c r="C896" s="3" t="s">
        <v>42</v>
      </c>
      <c r="D896" s="3" t="s">
        <v>37</v>
      </c>
      <c r="E896" s="3" t="s">
        <v>43</v>
      </c>
      <c r="F896" s="3">
        <v>237.0</v>
      </c>
      <c r="G896" s="4" t="s">
        <v>18</v>
      </c>
      <c r="H896" s="3">
        <v>3.393264372299242</v>
      </c>
      <c r="I896" s="3"/>
      <c r="J896" s="7"/>
    </row>
    <row r="897" ht="14.25" customHeight="1">
      <c r="A897" s="3" t="s">
        <v>24</v>
      </c>
      <c r="B897" s="3" t="s">
        <v>41</v>
      </c>
      <c r="C897" s="3" t="s">
        <v>42</v>
      </c>
      <c r="D897" s="3" t="s">
        <v>37</v>
      </c>
      <c r="E897" s="3" t="s">
        <v>43</v>
      </c>
      <c r="F897" s="3">
        <v>237.0</v>
      </c>
      <c r="G897" s="4" t="s">
        <v>19</v>
      </c>
      <c r="H897" s="3">
        <v>3.600604081504368</v>
      </c>
      <c r="I897" s="3"/>
      <c r="J897" s="7"/>
    </row>
    <row r="898" ht="14.25" customHeight="1">
      <c r="A898" s="3" t="s">
        <v>24</v>
      </c>
      <c r="B898" s="3" t="s">
        <v>41</v>
      </c>
      <c r="C898" s="3" t="s">
        <v>42</v>
      </c>
      <c r="D898" s="3" t="s">
        <v>37</v>
      </c>
      <c r="E898" s="3" t="s">
        <v>43</v>
      </c>
      <c r="F898" s="3">
        <v>237.0</v>
      </c>
      <c r="G898" s="4" t="s">
        <v>20</v>
      </c>
      <c r="H898" s="3">
        <v>6.6782306214366205</v>
      </c>
      <c r="I898" s="3"/>
      <c r="J898" s="7"/>
    </row>
    <row r="899" ht="14.25" customHeight="1">
      <c r="A899" s="3" t="s">
        <v>24</v>
      </c>
      <c r="B899" s="3" t="s">
        <v>41</v>
      </c>
      <c r="C899" s="3" t="s">
        <v>42</v>
      </c>
      <c r="D899" s="3" t="s">
        <v>37</v>
      </c>
      <c r="E899" s="3" t="s">
        <v>43</v>
      </c>
      <c r="F899" s="3">
        <v>237.0</v>
      </c>
      <c r="G899" s="4" t="s">
        <v>21</v>
      </c>
      <c r="H899" s="3">
        <v>7.03824835617564</v>
      </c>
      <c r="I899" s="3"/>
      <c r="J899" s="7"/>
    </row>
    <row r="900" ht="14.25" customHeight="1">
      <c r="A900" s="3" t="s">
        <v>24</v>
      </c>
      <c r="B900" s="3" t="s">
        <v>41</v>
      </c>
      <c r="C900" s="3" t="s">
        <v>42</v>
      </c>
      <c r="D900" s="3" t="s">
        <v>37</v>
      </c>
      <c r="E900" s="3" t="s">
        <v>43</v>
      </c>
      <c r="F900" s="3">
        <v>237.0</v>
      </c>
      <c r="G900" s="4" t="s">
        <v>22</v>
      </c>
      <c r="H900" s="3">
        <v>5.111140524553491</v>
      </c>
      <c r="I900" s="3"/>
      <c r="J900" s="7"/>
    </row>
    <row r="901" ht="14.25" customHeight="1">
      <c r="A901" s="3" t="s">
        <v>25</v>
      </c>
      <c r="B901" s="3" t="s">
        <v>41</v>
      </c>
      <c r="C901" s="3" t="s">
        <v>42</v>
      </c>
      <c r="D901" s="3" t="s">
        <v>37</v>
      </c>
      <c r="E901" s="3" t="s">
        <v>43</v>
      </c>
      <c r="F901" s="3">
        <v>237.0</v>
      </c>
      <c r="G901" s="4" t="s">
        <v>15</v>
      </c>
      <c r="H901" s="3">
        <v>8.238651786702068</v>
      </c>
      <c r="I901" s="3"/>
      <c r="J901" s="7"/>
    </row>
    <row r="902" ht="14.25" customHeight="1">
      <c r="A902" s="3" t="s">
        <v>25</v>
      </c>
      <c r="B902" s="3" t="s">
        <v>41</v>
      </c>
      <c r="C902" s="3" t="s">
        <v>42</v>
      </c>
      <c r="D902" s="3" t="s">
        <v>37</v>
      </c>
      <c r="E902" s="3" t="s">
        <v>43</v>
      </c>
      <c r="F902" s="3">
        <v>237.0</v>
      </c>
      <c r="G902" s="4" t="s">
        <v>16</v>
      </c>
      <c r="H902" s="3">
        <v>14.691450864814545</v>
      </c>
      <c r="I902" s="3"/>
      <c r="J902" s="7"/>
    </row>
    <row r="903" ht="14.25" customHeight="1">
      <c r="A903" s="3" t="s">
        <v>25</v>
      </c>
      <c r="B903" s="3" t="s">
        <v>41</v>
      </c>
      <c r="C903" s="3" t="s">
        <v>42</v>
      </c>
      <c r="D903" s="3" t="s">
        <v>37</v>
      </c>
      <c r="E903" s="3" t="s">
        <v>43</v>
      </c>
      <c r="F903" s="3">
        <v>237.0</v>
      </c>
      <c r="G903" s="4" t="s">
        <v>17</v>
      </c>
      <c r="H903" s="3">
        <v>12.161633559247367</v>
      </c>
      <c r="I903" s="3"/>
      <c r="J903" s="7"/>
    </row>
    <row r="904" ht="14.25" customHeight="1">
      <c r="A904" s="3" t="s">
        <v>25</v>
      </c>
      <c r="B904" s="3" t="s">
        <v>41</v>
      </c>
      <c r="C904" s="3" t="s">
        <v>42</v>
      </c>
      <c r="D904" s="3" t="s">
        <v>37</v>
      </c>
      <c r="E904" s="3" t="s">
        <v>43</v>
      </c>
      <c r="F904" s="3">
        <v>237.0</v>
      </c>
      <c r="G904" s="4" t="s">
        <v>18</v>
      </c>
      <c r="H904" s="3">
        <v>14.348102624030684</v>
      </c>
      <c r="I904" s="3"/>
      <c r="J904" s="7"/>
    </row>
    <row r="905" ht="14.25" customHeight="1">
      <c r="A905" s="3" t="s">
        <v>25</v>
      </c>
      <c r="B905" s="3" t="s">
        <v>41</v>
      </c>
      <c r="C905" s="3" t="s">
        <v>42</v>
      </c>
      <c r="D905" s="3" t="s">
        <v>37</v>
      </c>
      <c r="E905" s="3" t="s">
        <v>43</v>
      </c>
      <c r="F905" s="3">
        <v>237.0</v>
      </c>
      <c r="G905" s="4" t="s">
        <v>19</v>
      </c>
      <c r="H905" s="3">
        <v>13.911609691878</v>
      </c>
      <c r="I905" s="3"/>
      <c r="J905" s="7"/>
    </row>
    <row r="906" ht="14.25" customHeight="1">
      <c r="A906" s="3" t="s">
        <v>25</v>
      </c>
      <c r="B906" s="3" t="s">
        <v>41</v>
      </c>
      <c r="C906" s="3" t="s">
        <v>42</v>
      </c>
      <c r="D906" s="3" t="s">
        <v>37</v>
      </c>
      <c r="E906" s="3" t="s">
        <v>43</v>
      </c>
      <c r="F906" s="3">
        <v>237.0</v>
      </c>
      <c r="G906" s="4" t="s">
        <v>20</v>
      </c>
      <c r="H906" s="3">
        <v>12.815717854523088</v>
      </c>
      <c r="I906" s="3"/>
      <c r="J906" s="7"/>
    </row>
    <row r="907" ht="14.25" customHeight="1">
      <c r="A907" s="3" t="s">
        <v>25</v>
      </c>
      <c r="B907" s="3" t="s">
        <v>41</v>
      </c>
      <c r="C907" s="3" t="s">
        <v>42</v>
      </c>
      <c r="D907" s="3" t="s">
        <v>37</v>
      </c>
      <c r="E907" s="3" t="s">
        <v>43</v>
      </c>
      <c r="F907" s="3">
        <v>237.0</v>
      </c>
      <c r="G907" s="4" t="s">
        <v>21</v>
      </c>
      <c r="H907" s="3">
        <v>14.405741843320488</v>
      </c>
      <c r="I907" s="3"/>
      <c r="J907" s="7"/>
    </row>
    <row r="908" ht="14.25" customHeight="1">
      <c r="A908" s="3" t="s">
        <v>25</v>
      </c>
      <c r="B908" s="3" t="s">
        <v>41</v>
      </c>
      <c r="C908" s="3" t="s">
        <v>42</v>
      </c>
      <c r="D908" s="3" t="s">
        <v>37</v>
      </c>
      <c r="E908" s="3" t="s">
        <v>43</v>
      </c>
      <c r="F908" s="3">
        <v>237.0</v>
      </c>
      <c r="G908" s="4" t="s">
        <v>22</v>
      </c>
      <c r="H908" s="3">
        <v>20.24592501784279</v>
      </c>
      <c r="I908" s="3"/>
      <c r="J908" s="7"/>
    </row>
    <row r="909" ht="14.25" customHeight="1">
      <c r="A909" s="3" t="s">
        <v>26</v>
      </c>
      <c r="B909" s="3" t="s">
        <v>41</v>
      </c>
      <c r="C909" s="3" t="s">
        <v>42</v>
      </c>
      <c r="D909" s="3" t="s">
        <v>37</v>
      </c>
      <c r="E909" s="3" t="s">
        <v>43</v>
      </c>
      <c r="F909" s="3">
        <v>237.0</v>
      </c>
      <c r="G909" s="4" t="s">
        <v>15</v>
      </c>
      <c r="H909" s="3">
        <v>25.167307192498942</v>
      </c>
      <c r="I909" s="3"/>
      <c r="J909" s="7"/>
    </row>
    <row r="910" ht="14.25" customHeight="1">
      <c r="A910" s="3" t="s">
        <v>26</v>
      </c>
      <c r="B910" s="3" t="s">
        <v>41</v>
      </c>
      <c r="C910" s="3" t="s">
        <v>42</v>
      </c>
      <c r="D910" s="3" t="s">
        <v>37</v>
      </c>
      <c r="E910" s="3" t="s">
        <v>43</v>
      </c>
      <c r="F910" s="3">
        <v>237.0</v>
      </c>
      <c r="G910" s="4" t="s">
        <v>16</v>
      </c>
      <c r="H910" s="3">
        <v>33.8434981752417</v>
      </c>
      <c r="I910" s="3"/>
      <c r="J910" s="7"/>
    </row>
    <row r="911" ht="14.25" customHeight="1">
      <c r="A911" s="3" t="s">
        <v>26</v>
      </c>
      <c r="B911" s="3" t="s">
        <v>41</v>
      </c>
      <c r="C911" s="3" t="s">
        <v>42</v>
      </c>
      <c r="D911" s="3" t="s">
        <v>37</v>
      </c>
      <c r="E911" s="3" t="s">
        <v>43</v>
      </c>
      <c r="F911" s="3">
        <v>237.0</v>
      </c>
      <c r="G911" s="4" t="s">
        <v>17</v>
      </c>
      <c r="H911" s="3">
        <v>30.62254311317319</v>
      </c>
      <c r="I911" s="3"/>
      <c r="J911" s="7"/>
    </row>
    <row r="912" ht="14.25" customHeight="1">
      <c r="A912" s="3" t="s">
        <v>26</v>
      </c>
      <c r="B912" s="3" t="s">
        <v>41</v>
      </c>
      <c r="C912" s="3" t="s">
        <v>42</v>
      </c>
      <c r="D912" s="3" t="s">
        <v>37</v>
      </c>
      <c r="E912" s="3" t="s">
        <v>43</v>
      </c>
      <c r="F912" s="3">
        <v>237.0</v>
      </c>
      <c r="G912" s="4" t="s">
        <v>18</v>
      </c>
      <c r="H912" s="3">
        <v>34.63421437450465</v>
      </c>
      <c r="I912" s="3"/>
      <c r="J912" s="7"/>
    </row>
    <row r="913" ht="14.25" customHeight="1">
      <c r="A913" s="3" t="s">
        <v>26</v>
      </c>
      <c r="B913" s="3" t="s">
        <v>41</v>
      </c>
      <c r="C913" s="3" t="s">
        <v>42</v>
      </c>
      <c r="D913" s="3" t="s">
        <v>37</v>
      </c>
      <c r="E913" s="3" t="s">
        <v>43</v>
      </c>
      <c r="F913" s="3">
        <v>237.0</v>
      </c>
      <c r="G913" s="4" t="s">
        <v>19</v>
      </c>
      <c r="H913" s="3">
        <v>28.15953886447534</v>
      </c>
      <c r="I913" s="3"/>
      <c r="J913" s="7"/>
    </row>
    <row r="914" ht="14.25" customHeight="1">
      <c r="A914" s="3" t="s">
        <v>26</v>
      </c>
      <c r="B914" s="3" t="s">
        <v>41</v>
      </c>
      <c r="C914" s="3" t="s">
        <v>42</v>
      </c>
      <c r="D914" s="3" t="s">
        <v>37</v>
      </c>
      <c r="E914" s="3" t="s">
        <v>43</v>
      </c>
      <c r="F914" s="3">
        <v>237.0</v>
      </c>
      <c r="G914" s="4" t="s">
        <v>20</v>
      </c>
      <c r="H914" s="3">
        <v>32.21642620192875</v>
      </c>
      <c r="I914" s="3"/>
      <c r="J914" s="7"/>
    </row>
    <row r="915" ht="14.25" customHeight="1">
      <c r="A915" s="3" t="s">
        <v>26</v>
      </c>
      <c r="B915" s="3" t="s">
        <v>41</v>
      </c>
      <c r="C915" s="3" t="s">
        <v>42</v>
      </c>
      <c r="D915" s="3" t="s">
        <v>37</v>
      </c>
      <c r="E915" s="3" t="s">
        <v>43</v>
      </c>
      <c r="F915" s="3">
        <v>237.0</v>
      </c>
      <c r="G915" s="4" t="s">
        <v>21</v>
      </c>
      <c r="H915" s="3">
        <v>39.25604591684949</v>
      </c>
      <c r="I915" s="3"/>
      <c r="J915" s="7"/>
    </row>
    <row r="916" ht="14.25" customHeight="1">
      <c r="A916" s="3" t="s">
        <v>26</v>
      </c>
      <c r="B916" s="3" t="s">
        <v>41</v>
      </c>
      <c r="C916" s="3" t="s">
        <v>42</v>
      </c>
      <c r="D916" s="3" t="s">
        <v>37</v>
      </c>
      <c r="E916" s="3" t="s">
        <v>43</v>
      </c>
      <c r="F916" s="3">
        <v>237.0</v>
      </c>
      <c r="G916" s="4" t="s">
        <v>22</v>
      </c>
      <c r="H916" s="3">
        <v>38.128118200703845</v>
      </c>
      <c r="I916" s="3"/>
      <c r="J916" s="7"/>
    </row>
    <row r="917" ht="14.25" customHeight="1">
      <c r="A917" s="3" t="s">
        <v>10</v>
      </c>
      <c r="B917" s="3" t="s">
        <v>41</v>
      </c>
      <c r="C917" s="3" t="s">
        <v>44</v>
      </c>
      <c r="D917" s="3" t="s">
        <v>34</v>
      </c>
      <c r="E917" s="3" t="s">
        <v>43</v>
      </c>
      <c r="F917" s="3">
        <v>237.0</v>
      </c>
      <c r="G917" s="4" t="s">
        <v>15</v>
      </c>
      <c r="H917" s="3">
        <v>24.972226216561154</v>
      </c>
      <c r="I917" s="3"/>
      <c r="J917" s="7"/>
    </row>
    <row r="918" ht="14.25" customHeight="1">
      <c r="A918" s="3" t="s">
        <v>10</v>
      </c>
      <c r="B918" s="3" t="s">
        <v>41</v>
      </c>
      <c r="C918" s="3" t="s">
        <v>44</v>
      </c>
      <c r="D918" s="3" t="s">
        <v>34</v>
      </c>
      <c r="E918" s="3" t="s">
        <v>43</v>
      </c>
      <c r="F918" s="3">
        <v>237.0</v>
      </c>
      <c r="G918" s="4" t="s">
        <v>16</v>
      </c>
      <c r="H918" s="3">
        <v>27.956911349984892</v>
      </c>
      <c r="I918" s="3"/>
      <c r="J918" s="7"/>
    </row>
    <row r="919" ht="14.25" customHeight="1">
      <c r="A919" s="3" t="s">
        <v>10</v>
      </c>
      <c r="B919" s="3" t="s">
        <v>41</v>
      </c>
      <c r="C919" s="3" t="s">
        <v>44</v>
      </c>
      <c r="D919" s="3" t="s">
        <v>34</v>
      </c>
      <c r="E919" s="3" t="s">
        <v>43</v>
      </c>
      <c r="F919" s="3">
        <v>237.0</v>
      </c>
      <c r="G919" s="4" t="s">
        <v>17</v>
      </c>
      <c r="H919" s="3">
        <v>34.771722307913905</v>
      </c>
      <c r="I919" s="3"/>
      <c r="J919" s="7"/>
    </row>
    <row r="920" ht="14.25" customHeight="1">
      <c r="A920" s="3" t="s">
        <v>10</v>
      </c>
      <c r="B920" s="3" t="s">
        <v>41</v>
      </c>
      <c r="C920" s="3" t="s">
        <v>44</v>
      </c>
      <c r="D920" s="3" t="s">
        <v>34</v>
      </c>
      <c r="E920" s="3" t="s">
        <v>43</v>
      </c>
      <c r="F920" s="3">
        <v>237.0</v>
      </c>
      <c r="G920" s="4" t="s">
        <v>18</v>
      </c>
      <c r="H920" s="3">
        <v>35.86158799318318</v>
      </c>
      <c r="I920" s="3"/>
      <c r="J920" s="7"/>
    </row>
    <row r="921" ht="14.25" customHeight="1">
      <c r="A921" s="3" t="s">
        <v>10</v>
      </c>
      <c r="B921" s="3" t="s">
        <v>41</v>
      </c>
      <c r="C921" s="3" t="s">
        <v>44</v>
      </c>
      <c r="D921" s="3" t="s">
        <v>34</v>
      </c>
      <c r="E921" s="3" t="s">
        <v>43</v>
      </c>
      <c r="F921" s="3">
        <v>237.0</v>
      </c>
      <c r="G921" s="4" t="s">
        <v>19</v>
      </c>
      <c r="H921" s="3">
        <v>40.27514181614339</v>
      </c>
      <c r="I921" s="3"/>
      <c r="J921" s="7"/>
    </row>
    <row r="922" ht="14.25" customHeight="1">
      <c r="A922" s="3" t="s">
        <v>10</v>
      </c>
      <c r="B922" s="3" t="s">
        <v>41</v>
      </c>
      <c r="C922" s="3" t="s">
        <v>44</v>
      </c>
      <c r="D922" s="3" t="s">
        <v>34</v>
      </c>
      <c r="E922" s="3" t="s">
        <v>43</v>
      </c>
      <c r="F922" s="3">
        <v>237.0</v>
      </c>
      <c r="G922" s="4" t="s">
        <v>20</v>
      </c>
      <c r="H922" s="3">
        <v>44.03519736208776</v>
      </c>
      <c r="I922" s="3"/>
      <c r="J922" s="7"/>
    </row>
    <row r="923" ht="14.25" customHeight="1">
      <c r="A923" s="3" t="s">
        <v>10</v>
      </c>
      <c r="B923" s="3" t="s">
        <v>41</v>
      </c>
      <c r="C923" s="3" t="s">
        <v>44</v>
      </c>
      <c r="D923" s="3" t="s">
        <v>34</v>
      </c>
      <c r="E923" s="3" t="s">
        <v>43</v>
      </c>
      <c r="F923" s="3">
        <v>237.0</v>
      </c>
      <c r="G923" s="4" t="s">
        <v>21</v>
      </c>
      <c r="H923" s="3">
        <v>49.35914504514068</v>
      </c>
      <c r="I923" s="3"/>
      <c r="J923" s="7"/>
    </row>
    <row r="924" ht="14.25" customHeight="1">
      <c r="A924" s="3" t="s">
        <v>10</v>
      </c>
      <c r="B924" s="3" t="s">
        <v>41</v>
      </c>
      <c r="C924" s="3" t="s">
        <v>44</v>
      </c>
      <c r="D924" s="3" t="s">
        <v>34</v>
      </c>
      <c r="E924" s="3" t="s">
        <v>43</v>
      </c>
      <c r="F924" s="3">
        <v>237.0</v>
      </c>
      <c r="G924" s="4" t="s">
        <v>22</v>
      </c>
      <c r="H924" s="3">
        <v>43.16073194654621</v>
      </c>
      <c r="I924" s="3"/>
      <c r="J924" s="7"/>
    </row>
    <row r="925" ht="14.25" customHeight="1">
      <c r="A925" s="3" t="s">
        <v>23</v>
      </c>
      <c r="B925" s="3" t="s">
        <v>41</v>
      </c>
      <c r="C925" s="3" t="s">
        <v>44</v>
      </c>
      <c r="D925" s="3" t="s">
        <v>34</v>
      </c>
      <c r="E925" s="3" t="s">
        <v>43</v>
      </c>
      <c r="F925" s="3">
        <v>237.0</v>
      </c>
      <c r="G925" s="4" t="s">
        <v>15</v>
      </c>
      <c r="H925" s="3">
        <v>151.310930925351</v>
      </c>
      <c r="I925" s="3"/>
      <c r="J925" s="7"/>
    </row>
    <row r="926" ht="14.25" customHeight="1">
      <c r="A926" s="3" t="s">
        <v>23</v>
      </c>
      <c r="B926" s="3" t="s">
        <v>41</v>
      </c>
      <c r="C926" s="3" t="s">
        <v>44</v>
      </c>
      <c r="D926" s="3" t="s">
        <v>34</v>
      </c>
      <c r="E926" s="3" t="s">
        <v>43</v>
      </c>
      <c r="F926" s="3">
        <v>237.0</v>
      </c>
      <c r="G926" s="4" t="s">
        <v>16</v>
      </c>
      <c r="H926" s="3">
        <v>155.2325633628583</v>
      </c>
      <c r="I926" s="3"/>
      <c r="J926" s="7"/>
    </row>
    <row r="927" ht="14.25" customHeight="1">
      <c r="A927" s="3" t="s">
        <v>23</v>
      </c>
      <c r="B927" s="3" t="s">
        <v>41</v>
      </c>
      <c r="C927" s="3" t="s">
        <v>44</v>
      </c>
      <c r="D927" s="3" t="s">
        <v>34</v>
      </c>
      <c r="E927" s="3" t="s">
        <v>43</v>
      </c>
      <c r="F927" s="3">
        <v>237.0</v>
      </c>
      <c r="G927" s="4" t="s">
        <v>17</v>
      </c>
      <c r="H927" s="3">
        <v>175.042523250481</v>
      </c>
      <c r="I927" s="3"/>
      <c r="J927" s="7"/>
    </row>
    <row r="928" ht="14.25" customHeight="1">
      <c r="A928" s="3" t="s">
        <v>23</v>
      </c>
      <c r="B928" s="3" t="s">
        <v>41</v>
      </c>
      <c r="C928" s="3" t="s">
        <v>44</v>
      </c>
      <c r="D928" s="3" t="s">
        <v>34</v>
      </c>
      <c r="E928" s="3" t="s">
        <v>43</v>
      </c>
      <c r="F928" s="3">
        <v>237.0</v>
      </c>
      <c r="G928" s="4" t="s">
        <v>18</v>
      </c>
      <c r="H928" s="3">
        <v>183.85424684480995</v>
      </c>
      <c r="I928" s="3"/>
      <c r="J928" s="7"/>
    </row>
    <row r="929" ht="14.25" customHeight="1">
      <c r="A929" s="3" t="s">
        <v>23</v>
      </c>
      <c r="B929" s="3" t="s">
        <v>41</v>
      </c>
      <c r="C929" s="3" t="s">
        <v>44</v>
      </c>
      <c r="D929" s="3" t="s">
        <v>34</v>
      </c>
      <c r="E929" s="3" t="s">
        <v>43</v>
      </c>
      <c r="F929" s="3">
        <v>237.0</v>
      </c>
      <c r="G929" s="4" t="s">
        <v>19</v>
      </c>
      <c r="H929" s="3">
        <v>173.80798345365613</v>
      </c>
      <c r="I929" s="3"/>
      <c r="J929" s="7"/>
    </row>
    <row r="930" ht="14.25" customHeight="1">
      <c r="A930" s="3" t="s">
        <v>23</v>
      </c>
      <c r="B930" s="3" t="s">
        <v>41</v>
      </c>
      <c r="C930" s="3" t="s">
        <v>44</v>
      </c>
      <c r="D930" s="3" t="s">
        <v>34</v>
      </c>
      <c r="E930" s="3" t="s">
        <v>43</v>
      </c>
      <c r="F930" s="3">
        <v>237.0</v>
      </c>
      <c r="G930" s="4" t="s">
        <v>20</v>
      </c>
      <c r="H930" s="3">
        <v>212.11103321094774</v>
      </c>
      <c r="I930" s="3"/>
      <c r="J930" s="7"/>
    </row>
    <row r="931" ht="14.25" customHeight="1">
      <c r="A931" s="3" t="s">
        <v>23</v>
      </c>
      <c r="B931" s="3" t="s">
        <v>41</v>
      </c>
      <c r="C931" s="3" t="s">
        <v>44</v>
      </c>
      <c r="D931" s="3" t="s">
        <v>34</v>
      </c>
      <c r="E931" s="3" t="s">
        <v>43</v>
      </c>
      <c r="F931" s="3">
        <v>237.0</v>
      </c>
      <c r="G931" s="4" t="s">
        <v>21</v>
      </c>
      <c r="H931" s="3">
        <v>209.62890357176298</v>
      </c>
      <c r="I931" s="3"/>
      <c r="J931" s="7"/>
    </row>
    <row r="932" ht="14.25" customHeight="1">
      <c r="A932" s="3" t="s">
        <v>23</v>
      </c>
      <c r="B932" s="3" t="s">
        <v>41</v>
      </c>
      <c r="C932" s="3" t="s">
        <v>44</v>
      </c>
      <c r="D932" s="3" t="s">
        <v>34</v>
      </c>
      <c r="E932" s="3" t="s">
        <v>43</v>
      </c>
      <c r="F932" s="3">
        <v>237.0</v>
      </c>
      <c r="G932" s="4" t="s">
        <v>22</v>
      </c>
      <c r="H932" s="3">
        <v>212.00434329550572</v>
      </c>
      <c r="I932" s="3"/>
      <c r="J932" s="7"/>
    </row>
    <row r="933" ht="14.25" customHeight="1">
      <c r="A933" s="3" t="s">
        <v>24</v>
      </c>
      <c r="B933" s="3" t="s">
        <v>41</v>
      </c>
      <c r="C933" s="3" t="s">
        <v>44</v>
      </c>
      <c r="D933" s="3" t="s">
        <v>34</v>
      </c>
      <c r="E933" s="3" t="s">
        <v>43</v>
      </c>
      <c r="F933" s="3">
        <v>237.0</v>
      </c>
      <c r="G933" s="4" t="s">
        <v>15</v>
      </c>
      <c r="H933" s="3">
        <v>6.883772306529935</v>
      </c>
      <c r="I933" s="3"/>
      <c r="J933" s="7"/>
    </row>
    <row r="934" ht="14.25" customHeight="1">
      <c r="A934" s="3" t="s">
        <v>24</v>
      </c>
      <c r="B934" s="3" t="s">
        <v>41</v>
      </c>
      <c r="C934" s="3" t="s">
        <v>44</v>
      </c>
      <c r="D934" s="3" t="s">
        <v>34</v>
      </c>
      <c r="E934" s="3" t="s">
        <v>43</v>
      </c>
      <c r="F934" s="3">
        <v>237.0</v>
      </c>
      <c r="G934" s="4" t="s">
        <v>16</v>
      </c>
      <c r="H934" s="3">
        <v>10.00421956789424</v>
      </c>
      <c r="I934" s="3"/>
      <c r="J934" s="7"/>
    </row>
    <row r="935" ht="14.25" customHeight="1">
      <c r="A935" s="3" t="s">
        <v>24</v>
      </c>
      <c r="B935" s="3" t="s">
        <v>41</v>
      </c>
      <c r="C935" s="3" t="s">
        <v>44</v>
      </c>
      <c r="D935" s="3" t="s">
        <v>34</v>
      </c>
      <c r="E935" s="3" t="s">
        <v>43</v>
      </c>
      <c r="F935" s="3">
        <v>237.0</v>
      </c>
      <c r="G935" s="4" t="s">
        <v>17</v>
      </c>
      <c r="H935" s="3">
        <v>10.79975437297295</v>
      </c>
      <c r="I935" s="3"/>
      <c r="J935" s="7"/>
    </row>
    <row r="936" ht="14.25" customHeight="1">
      <c r="A936" s="3" t="s">
        <v>24</v>
      </c>
      <c r="B936" s="3" t="s">
        <v>41</v>
      </c>
      <c r="C936" s="3" t="s">
        <v>44</v>
      </c>
      <c r="D936" s="3" t="s">
        <v>34</v>
      </c>
      <c r="E936" s="3" t="s">
        <v>43</v>
      </c>
      <c r="F936" s="3">
        <v>237.0</v>
      </c>
      <c r="G936" s="4" t="s">
        <v>18</v>
      </c>
      <c r="H936" s="3">
        <v>10.554482697700758</v>
      </c>
      <c r="I936" s="3"/>
      <c r="J936" s="7"/>
    </row>
    <row r="937" ht="14.25" customHeight="1">
      <c r="A937" s="3" t="s">
        <v>24</v>
      </c>
      <c r="B937" s="3" t="s">
        <v>41</v>
      </c>
      <c r="C937" s="3" t="s">
        <v>44</v>
      </c>
      <c r="D937" s="3" t="s">
        <v>34</v>
      </c>
      <c r="E937" s="3" t="s">
        <v>43</v>
      </c>
      <c r="F937" s="3">
        <v>237.0</v>
      </c>
      <c r="G937" s="4" t="s">
        <v>19</v>
      </c>
      <c r="H937" s="3">
        <v>11.566910188495632</v>
      </c>
      <c r="I937" s="3"/>
      <c r="J937" s="7"/>
    </row>
    <row r="938" ht="14.25" customHeight="1">
      <c r="A938" s="3" t="s">
        <v>24</v>
      </c>
      <c r="B938" s="3" t="s">
        <v>41</v>
      </c>
      <c r="C938" s="3" t="s">
        <v>44</v>
      </c>
      <c r="D938" s="3" t="s">
        <v>34</v>
      </c>
      <c r="E938" s="3" t="s">
        <v>43</v>
      </c>
      <c r="F938" s="3">
        <v>237.0</v>
      </c>
      <c r="G938" s="4" t="s">
        <v>20</v>
      </c>
      <c r="H938" s="3">
        <v>12.990092858563376</v>
      </c>
      <c r="I938" s="3"/>
      <c r="J938" s="7"/>
    </row>
    <row r="939" ht="14.25" customHeight="1">
      <c r="A939" s="3" t="s">
        <v>24</v>
      </c>
      <c r="B939" s="3" t="s">
        <v>41</v>
      </c>
      <c r="C939" s="3" t="s">
        <v>44</v>
      </c>
      <c r="D939" s="3" t="s">
        <v>34</v>
      </c>
      <c r="E939" s="3" t="s">
        <v>43</v>
      </c>
      <c r="F939" s="3">
        <v>237.0</v>
      </c>
      <c r="G939" s="4" t="s">
        <v>21</v>
      </c>
      <c r="H939" s="3">
        <v>14.39753411382436</v>
      </c>
      <c r="I939" s="3"/>
      <c r="J939" s="7"/>
    </row>
    <row r="940" ht="14.25" customHeight="1">
      <c r="A940" s="3" t="s">
        <v>24</v>
      </c>
      <c r="B940" s="3" t="s">
        <v>41</v>
      </c>
      <c r="C940" s="3" t="s">
        <v>44</v>
      </c>
      <c r="D940" s="3" t="s">
        <v>34</v>
      </c>
      <c r="E940" s="3" t="s">
        <v>43</v>
      </c>
      <c r="F940" s="3">
        <v>237.0</v>
      </c>
      <c r="G940" s="4" t="s">
        <v>22</v>
      </c>
      <c r="H940" s="3">
        <v>11.56589780544651</v>
      </c>
      <c r="I940" s="3"/>
      <c r="J940" s="7"/>
    </row>
    <row r="941" ht="14.25" customHeight="1">
      <c r="A941" s="3" t="s">
        <v>25</v>
      </c>
      <c r="B941" s="3" t="s">
        <v>41</v>
      </c>
      <c r="C941" s="3" t="s">
        <v>44</v>
      </c>
      <c r="D941" s="3" t="s">
        <v>34</v>
      </c>
      <c r="E941" s="3" t="s">
        <v>43</v>
      </c>
      <c r="F941" s="3">
        <v>237.0</v>
      </c>
      <c r="G941" s="4" t="s">
        <v>15</v>
      </c>
      <c r="H941" s="3">
        <v>22.850998663297926</v>
      </c>
      <c r="I941" s="3"/>
      <c r="J941" s="7"/>
    </row>
    <row r="942" ht="14.25" customHeight="1">
      <c r="A942" s="3" t="s">
        <v>25</v>
      </c>
      <c r="B942" s="3" t="s">
        <v>41</v>
      </c>
      <c r="C942" s="3" t="s">
        <v>44</v>
      </c>
      <c r="D942" s="3" t="s">
        <v>34</v>
      </c>
      <c r="E942" s="3" t="s">
        <v>43</v>
      </c>
      <c r="F942" s="3">
        <v>237.0</v>
      </c>
      <c r="G942" s="4" t="s">
        <v>16</v>
      </c>
      <c r="H942" s="3">
        <v>23.17255297518545</v>
      </c>
      <c r="I942" s="3"/>
      <c r="J942" s="7"/>
    </row>
    <row r="943" ht="14.25" customHeight="1">
      <c r="A943" s="3" t="s">
        <v>25</v>
      </c>
      <c r="B943" s="3" t="s">
        <v>41</v>
      </c>
      <c r="C943" s="3" t="s">
        <v>44</v>
      </c>
      <c r="D943" s="3" t="s">
        <v>34</v>
      </c>
      <c r="E943" s="3" t="s">
        <v>43</v>
      </c>
      <c r="F943" s="3">
        <v>237.0</v>
      </c>
      <c r="G943" s="4" t="s">
        <v>17</v>
      </c>
      <c r="H943" s="3">
        <v>28.67958128075263</v>
      </c>
      <c r="I943" s="3"/>
      <c r="J943" s="7"/>
    </row>
    <row r="944" ht="14.25" customHeight="1">
      <c r="A944" s="3" t="s">
        <v>25</v>
      </c>
      <c r="B944" s="3" t="s">
        <v>41</v>
      </c>
      <c r="C944" s="3" t="s">
        <v>44</v>
      </c>
      <c r="D944" s="3" t="s">
        <v>34</v>
      </c>
      <c r="E944" s="3" t="s">
        <v>43</v>
      </c>
      <c r="F944" s="3">
        <v>237.0</v>
      </c>
      <c r="G944" s="4" t="s">
        <v>18</v>
      </c>
      <c r="H944" s="3">
        <v>30.646795595969305</v>
      </c>
      <c r="I944" s="3"/>
      <c r="J944" s="7"/>
    </row>
    <row r="945" ht="14.25" customHeight="1">
      <c r="A945" s="3" t="s">
        <v>25</v>
      </c>
      <c r="B945" s="3" t="s">
        <v>41</v>
      </c>
      <c r="C945" s="3" t="s">
        <v>44</v>
      </c>
      <c r="D945" s="3" t="s">
        <v>34</v>
      </c>
      <c r="E945" s="3" t="s">
        <v>43</v>
      </c>
      <c r="F945" s="3">
        <v>237.0</v>
      </c>
      <c r="G945" s="4" t="s">
        <v>19</v>
      </c>
      <c r="H945" s="3">
        <v>34.201260238121996</v>
      </c>
      <c r="I945" s="3"/>
      <c r="J945" s="7"/>
    </row>
    <row r="946" ht="14.25" customHeight="1">
      <c r="A946" s="3" t="s">
        <v>25</v>
      </c>
      <c r="B946" s="3" t="s">
        <v>41</v>
      </c>
      <c r="C946" s="3" t="s">
        <v>44</v>
      </c>
      <c r="D946" s="3" t="s">
        <v>34</v>
      </c>
      <c r="E946" s="3" t="s">
        <v>43</v>
      </c>
      <c r="F946" s="3">
        <v>237.0</v>
      </c>
      <c r="G946" s="4" t="s">
        <v>20</v>
      </c>
      <c r="H946" s="3">
        <v>37.26725170547691</v>
      </c>
      <c r="I946" s="3"/>
      <c r="J946" s="7"/>
    </row>
    <row r="947" ht="14.25" customHeight="1">
      <c r="A947" s="3" t="s">
        <v>25</v>
      </c>
      <c r="B947" s="3" t="s">
        <v>41</v>
      </c>
      <c r="C947" s="3" t="s">
        <v>44</v>
      </c>
      <c r="D947" s="3" t="s">
        <v>34</v>
      </c>
      <c r="E947" s="3" t="s">
        <v>43</v>
      </c>
      <c r="F947" s="3">
        <v>237.0</v>
      </c>
      <c r="G947" s="4" t="s">
        <v>21</v>
      </c>
      <c r="H947" s="3">
        <v>34.82132729667951</v>
      </c>
      <c r="I947" s="3"/>
      <c r="J947" s="7"/>
    </row>
    <row r="948" ht="14.25" customHeight="1">
      <c r="A948" s="3" t="s">
        <v>25</v>
      </c>
      <c r="B948" s="3" t="s">
        <v>41</v>
      </c>
      <c r="C948" s="3" t="s">
        <v>44</v>
      </c>
      <c r="D948" s="3" t="s">
        <v>34</v>
      </c>
      <c r="E948" s="3" t="s">
        <v>43</v>
      </c>
      <c r="F948" s="3">
        <v>237.0</v>
      </c>
      <c r="G948" s="4" t="s">
        <v>22</v>
      </c>
      <c r="H948" s="3">
        <v>38.12040897215721</v>
      </c>
      <c r="I948" s="3"/>
      <c r="J948" s="7"/>
    </row>
    <row r="949" ht="14.25" customHeight="1">
      <c r="A949" s="3" t="s">
        <v>26</v>
      </c>
      <c r="B949" s="3" t="s">
        <v>41</v>
      </c>
      <c r="C949" s="3" t="s">
        <v>44</v>
      </c>
      <c r="D949" s="3" t="s">
        <v>34</v>
      </c>
      <c r="E949" s="3" t="s">
        <v>43</v>
      </c>
      <c r="F949" s="3">
        <v>237.0</v>
      </c>
      <c r="G949" s="4" t="s">
        <v>15</v>
      </c>
      <c r="H949" s="3">
        <v>122.30350100750105</v>
      </c>
      <c r="I949" s="3"/>
      <c r="J949" s="7"/>
    </row>
    <row r="950" ht="14.25" customHeight="1">
      <c r="A950" s="3" t="s">
        <v>26</v>
      </c>
      <c r="B950" s="3" t="s">
        <v>41</v>
      </c>
      <c r="C950" s="3" t="s">
        <v>44</v>
      </c>
      <c r="D950" s="3" t="s">
        <v>34</v>
      </c>
      <c r="E950" s="3" t="s">
        <v>43</v>
      </c>
      <c r="F950" s="3">
        <v>237.0</v>
      </c>
      <c r="G950" s="4" t="s">
        <v>16</v>
      </c>
      <c r="H950" s="3">
        <v>123.3557094147583</v>
      </c>
      <c r="I950" s="3"/>
      <c r="J950" s="7"/>
    </row>
    <row r="951" ht="14.25" customHeight="1">
      <c r="A951" s="3" t="s">
        <v>26</v>
      </c>
      <c r="B951" s="3" t="s">
        <v>41</v>
      </c>
      <c r="C951" s="3" t="s">
        <v>44</v>
      </c>
      <c r="D951" s="3" t="s">
        <v>34</v>
      </c>
      <c r="E951" s="3" t="s">
        <v>43</v>
      </c>
      <c r="F951" s="3">
        <v>237.0</v>
      </c>
      <c r="G951" s="4" t="s">
        <v>17</v>
      </c>
      <c r="H951" s="3">
        <v>136.31676840682678</v>
      </c>
      <c r="I951" s="3"/>
      <c r="J951" s="7"/>
    </row>
    <row r="952" ht="14.25" customHeight="1">
      <c r="A952" s="3" t="s">
        <v>26</v>
      </c>
      <c r="B952" s="3" t="s">
        <v>41</v>
      </c>
      <c r="C952" s="3" t="s">
        <v>44</v>
      </c>
      <c r="D952" s="3" t="s">
        <v>34</v>
      </c>
      <c r="E952" s="3" t="s">
        <v>43</v>
      </c>
      <c r="F952" s="3">
        <v>237.0</v>
      </c>
      <c r="G952" s="4" t="s">
        <v>18</v>
      </c>
      <c r="H952" s="3">
        <v>143.63060576549532</v>
      </c>
      <c r="I952" s="3"/>
      <c r="J952" s="7"/>
    </row>
    <row r="953" ht="14.25" customHeight="1">
      <c r="A953" s="3" t="s">
        <v>26</v>
      </c>
      <c r="B953" s="3" t="s">
        <v>41</v>
      </c>
      <c r="C953" s="3" t="s">
        <v>44</v>
      </c>
      <c r="D953" s="3" t="s">
        <v>34</v>
      </c>
      <c r="E953" s="3" t="s">
        <v>43</v>
      </c>
      <c r="F953" s="3">
        <v>237.0</v>
      </c>
      <c r="G953" s="4" t="s">
        <v>19</v>
      </c>
      <c r="H953" s="3">
        <v>129.08488680552466</v>
      </c>
      <c r="I953" s="3"/>
      <c r="J953" s="7"/>
    </row>
    <row r="954" ht="14.25" customHeight="1">
      <c r="A954" s="3" t="s">
        <v>26</v>
      </c>
      <c r="B954" s="3" t="s">
        <v>41</v>
      </c>
      <c r="C954" s="3" t="s">
        <v>44</v>
      </c>
      <c r="D954" s="3" t="s">
        <v>34</v>
      </c>
      <c r="E954" s="3" t="s">
        <v>43</v>
      </c>
      <c r="F954" s="3">
        <v>237.0</v>
      </c>
      <c r="G954" s="4" t="s">
        <v>20</v>
      </c>
      <c r="H954" s="3">
        <v>163.78529429807125</v>
      </c>
      <c r="I954" s="3"/>
      <c r="J954" s="7"/>
    </row>
    <row r="955" ht="14.25" customHeight="1">
      <c r="A955" s="3" t="s">
        <v>26</v>
      </c>
      <c r="B955" s="3" t="s">
        <v>41</v>
      </c>
      <c r="C955" s="3" t="s">
        <v>44</v>
      </c>
      <c r="D955" s="3" t="s">
        <v>34</v>
      </c>
      <c r="E955" s="3" t="s">
        <v>43</v>
      </c>
      <c r="F955" s="3">
        <v>237.0</v>
      </c>
      <c r="G955" s="4" t="s">
        <v>21</v>
      </c>
      <c r="H955" s="3">
        <v>162.0898220031505</v>
      </c>
      <c r="I955" s="3"/>
      <c r="J955" s="7"/>
    </row>
    <row r="956" ht="14.25" customHeight="1">
      <c r="A956" s="3" t="s">
        <v>26</v>
      </c>
      <c r="B956" s="3" t="s">
        <v>41</v>
      </c>
      <c r="C956" s="3" t="s">
        <v>44</v>
      </c>
      <c r="D956" s="3" t="s">
        <v>34</v>
      </c>
      <c r="E956" s="3" t="s">
        <v>43</v>
      </c>
      <c r="F956" s="3">
        <v>237.0</v>
      </c>
      <c r="G956" s="4" t="s">
        <v>22</v>
      </c>
      <c r="H956" s="3">
        <v>164.83387345929614</v>
      </c>
      <c r="I956" s="3"/>
      <c r="J956" s="7"/>
    </row>
  </sheetData>
  <autoFilter ref="$A$1:$J$956"/>
  <customSheetViews>
    <customSheetView guid="{34172F65-3D83-4E64-B6E8-5E072A8FC5D1}" filter="1" showAutoFilter="1">
      <autoFilter ref="$A$1:$I$956">
        <sortState ref="A1:I956">
          <sortCondition ref="F1:F956"/>
          <sortCondition ref="E1:E956"/>
          <sortCondition ref="D1:D956"/>
          <sortCondition ref="C1:C956"/>
        </sortState>
      </autoFilter>
    </customSheetView>
  </customSheetViews>
  <printOptions/>
  <pageMargins bottom="0.75" footer="0.0" header="0.0" left="0.7" right="0.7" top="0.75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7.86"/>
    <col customWidth="1" min="4" max="4" width="17.86"/>
    <col customWidth="1" min="5" max="5" width="17.29"/>
    <col customWidth="1" min="7" max="7" width="19.43"/>
    <col customWidth="1" min="8" max="8" width="20.57"/>
    <col customWidth="1" min="9" max="9" width="18.29"/>
  </cols>
  <sheetData>
    <row r="1">
      <c r="A1" s="56" t="s">
        <v>126</v>
      </c>
      <c r="B1" s="2" t="s">
        <v>70</v>
      </c>
      <c r="C1" s="2" t="s">
        <v>94</v>
      </c>
      <c r="D1" s="56" t="s">
        <v>127</v>
      </c>
      <c r="E1" s="56" t="s">
        <v>128</v>
      </c>
      <c r="F1" s="56" t="s">
        <v>129</v>
      </c>
      <c r="G1" s="56" t="s">
        <v>130</v>
      </c>
      <c r="H1" s="56" t="s">
        <v>131</v>
      </c>
      <c r="I1" s="56" t="s">
        <v>132</v>
      </c>
    </row>
    <row r="2">
      <c r="A2" s="23" t="s">
        <v>133</v>
      </c>
      <c r="B2" s="23" t="s">
        <v>75</v>
      </c>
      <c r="C2" s="23" t="s">
        <v>76</v>
      </c>
      <c r="D2" s="26">
        <v>5.0E7</v>
      </c>
      <c r="E2" s="23" t="s">
        <v>134</v>
      </c>
      <c r="F2" s="26">
        <f t="shared" ref="F2:F13" si="1">D2*0.99</f>
        <v>49500000</v>
      </c>
      <c r="G2" s="23">
        <v>50.0</v>
      </c>
      <c r="H2" s="98" t="s">
        <v>135</v>
      </c>
      <c r="I2" s="23">
        <v>90.0</v>
      </c>
    </row>
    <row r="3">
      <c r="A3" s="23" t="s">
        <v>133</v>
      </c>
      <c r="B3" s="23" t="s">
        <v>77</v>
      </c>
      <c r="C3" s="23" t="s">
        <v>78</v>
      </c>
      <c r="D3" s="26">
        <v>6000.0</v>
      </c>
      <c r="E3" s="23" t="s">
        <v>134</v>
      </c>
      <c r="F3" s="26">
        <f t="shared" si="1"/>
        <v>5940</v>
      </c>
      <c r="G3" s="23">
        <v>9.0E7</v>
      </c>
      <c r="H3" s="98" t="s">
        <v>135</v>
      </c>
      <c r="I3" s="23">
        <v>90.0</v>
      </c>
    </row>
    <row r="4">
      <c r="A4" s="23" t="s">
        <v>133</v>
      </c>
      <c r="B4" s="23" t="s">
        <v>79</v>
      </c>
      <c r="C4" s="23" t="s">
        <v>78</v>
      </c>
      <c r="D4" s="26">
        <v>3975.0</v>
      </c>
      <c r="E4" s="23" t="s">
        <v>134</v>
      </c>
      <c r="F4" s="26">
        <f t="shared" si="1"/>
        <v>3935.25</v>
      </c>
      <c r="G4" s="23">
        <v>7.0E7</v>
      </c>
      <c r="H4" s="98" t="s">
        <v>135</v>
      </c>
      <c r="I4" s="23">
        <v>90.0</v>
      </c>
    </row>
    <row r="5">
      <c r="A5" s="23" t="s">
        <v>133</v>
      </c>
      <c r="B5" s="23" t="s">
        <v>80</v>
      </c>
      <c r="C5" s="23" t="s">
        <v>76</v>
      </c>
      <c r="D5" s="26">
        <v>6.0E7</v>
      </c>
      <c r="E5" s="23" t="s">
        <v>134</v>
      </c>
      <c r="F5" s="26">
        <f t="shared" si="1"/>
        <v>59400000</v>
      </c>
      <c r="G5" s="23">
        <v>2.0</v>
      </c>
      <c r="H5" s="98" t="s">
        <v>135</v>
      </c>
      <c r="I5" s="23">
        <v>90.0</v>
      </c>
    </row>
    <row r="6">
      <c r="A6" s="23" t="s">
        <v>136</v>
      </c>
      <c r="B6" s="23" t="s">
        <v>75</v>
      </c>
      <c r="C6" s="23" t="s">
        <v>76</v>
      </c>
      <c r="D6" s="26">
        <v>5.0E7</v>
      </c>
      <c r="E6" s="23" t="s">
        <v>137</v>
      </c>
      <c r="F6" s="26">
        <f t="shared" si="1"/>
        <v>49500000</v>
      </c>
      <c r="G6" s="23">
        <v>100.0</v>
      </c>
      <c r="H6" s="98" t="s">
        <v>138</v>
      </c>
      <c r="I6" s="23">
        <v>15.0</v>
      </c>
    </row>
    <row r="7">
      <c r="A7" s="23" t="s">
        <v>136</v>
      </c>
      <c r="B7" s="23" t="s">
        <v>77</v>
      </c>
      <c r="C7" s="23" t="s">
        <v>78</v>
      </c>
      <c r="D7" s="26">
        <v>6000.0</v>
      </c>
      <c r="E7" s="23" t="s">
        <v>137</v>
      </c>
      <c r="F7" s="26">
        <f t="shared" si="1"/>
        <v>5940</v>
      </c>
      <c r="G7" s="23">
        <v>1.0E8</v>
      </c>
      <c r="H7" s="98" t="s">
        <v>138</v>
      </c>
      <c r="I7" s="23">
        <v>15.0</v>
      </c>
    </row>
    <row r="8">
      <c r="A8" s="23" t="s">
        <v>136</v>
      </c>
      <c r="B8" s="23" t="s">
        <v>79</v>
      </c>
      <c r="C8" s="23" t="s">
        <v>78</v>
      </c>
      <c r="D8" s="26">
        <v>3975.0</v>
      </c>
      <c r="E8" s="23" t="s">
        <v>137</v>
      </c>
      <c r="F8" s="26">
        <f t="shared" si="1"/>
        <v>3935.25</v>
      </c>
      <c r="G8" s="23">
        <v>1.0E8</v>
      </c>
      <c r="H8" s="98" t="s">
        <v>138</v>
      </c>
      <c r="I8" s="23">
        <v>15.0</v>
      </c>
    </row>
    <row r="9">
      <c r="A9" s="23" t="s">
        <v>136</v>
      </c>
      <c r="B9" s="23" t="s">
        <v>80</v>
      </c>
      <c r="C9" s="23" t="s">
        <v>76</v>
      </c>
      <c r="D9" s="26">
        <v>6.0E7</v>
      </c>
      <c r="E9" s="23" t="s">
        <v>137</v>
      </c>
      <c r="F9" s="26">
        <f t="shared" si="1"/>
        <v>59400000</v>
      </c>
      <c r="G9" s="23">
        <v>5.0</v>
      </c>
      <c r="H9" s="98" t="s">
        <v>138</v>
      </c>
      <c r="I9" s="23">
        <v>15.0</v>
      </c>
    </row>
    <row r="10">
      <c r="A10" s="23" t="s">
        <v>139</v>
      </c>
      <c r="B10" s="23" t="s">
        <v>75</v>
      </c>
      <c r="C10" s="23" t="s">
        <v>76</v>
      </c>
      <c r="D10" s="26">
        <v>5.0E7</v>
      </c>
      <c r="E10" s="23" t="s">
        <v>134</v>
      </c>
      <c r="F10" s="26">
        <f t="shared" si="1"/>
        <v>49500000</v>
      </c>
      <c r="G10" s="23">
        <v>50.0</v>
      </c>
      <c r="H10" s="98" t="s">
        <v>138</v>
      </c>
      <c r="I10" s="23">
        <v>30.0</v>
      </c>
    </row>
    <row r="11">
      <c r="A11" s="23" t="s">
        <v>139</v>
      </c>
      <c r="B11" s="23" t="s">
        <v>77</v>
      </c>
      <c r="C11" s="23" t="s">
        <v>78</v>
      </c>
      <c r="D11" s="26">
        <v>6000.0</v>
      </c>
      <c r="E11" s="23" t="s">
        <v>134</v>
      </c>
      <c r="F11" s="26">
        <f t="shared" si="1"/>
        <v>5940</v>
      </c>
      <c r="G11" s="23">
        <v>9.0E7</v>
      </c>
      <c r="H11" s="98" t="s">
        <v>138</v>
      </c>
      <c r="I11" s="23">
        <v>30.0</v>
      </c>
    </row>
    <row r="12">
      <c r="A12" s="23" t="s">
        <v>139</v>
      </c>
      <c r="B12" s="23" t="s">
        <v>79</v>
      </c>
      <c r="C12" s="23" t="s">
        <v>78</v>
      </c>
      <c r="D12" s="26">
        <v>3975.0</v>
      </c>
      <c r="E12" s="23" t="s">
        <v>134</v>
      </c>
      <c r="F12" s="26">
        <f t="shared" si="1"/>
        <v>3935.25</v>
      </c>
      <c r="G12" s="23">
        <v>7.0E7</v>
      </c>
      <c r="H12" s="98" t="s">
        <v>138</v>
      </c>
      <c r="I12" s="23">
        <v>30.0</v>
      </c>
    </row>
    <row r="13">
      <c r="A13" s="23" t="s">
        <v>139</v>
      </c>
      <c r="B13" s="23" t="s">
        <v>80</v>
      </c>
      <c r="C13" s="23" t="s">
        <v>76</v>
      </c>
      <c r="D13" s="26">
        <v>6.0E7</v>
      </c>
      <c r="E13" s="23" t="s">
        <v>134</v>
      </c>
      <c r="F13" s="26">
        <f t="shared" si="1"/>
        <v>59400000</v>
      </c>
      <c r="G13" s="23">
        <v>2.0</v>
      </c>
      <c r="H13" s="98" t="s">
        <v>138</v>
      </c>
      <c r="I13" s="23">
        <v>30.0</v>
      </c>
    </row>
    <row r="14">
      <c r="A14" s="23"/>
      <c r="B14" s="23"/>
      <c r="C14" s="23"/>
      <c r="D14" s="26"/>
      <c r="E14" s="23"/>
      <c r="F14" s="16"/>
      <c r="G14" s="23"/>
      <c r="H14" s="98"/>
      <c r="I14" s="23"/>
    </row>
    <row r="15">
      <c r="A15" s="23"/>
      <c r="B15" s="23"/>
      <c r="C15" s="23"/>
      <c r="D15" s="26"/>
      <c r="E15" s="23"/>
      <c r="F15" s="16"/>
      <c r="G15" s="23"/>
      <c r="H15" s="98"/>
      <c r="I15" s="23"/>
    </row>
    <row r="16">
      <c r="A16" s="23"/>
      <c r="B16" s="23"/>
      <c r="C16" s="23"/>
      <c r="D16" s="26"/>
      <c r="E16" s="23"/>
      <c r="F16" s="16"/>
      <c r="G16" s="23"/>
      <c r="H16" s="98"/>
      <c r="I16" s="23"/>
    </row>
    <row r="17">
      <c r="A17" s="23"/>
      <c r="B17" s="23"/>
      <c r="C17" s="23"/>
      <c r="D17" s="26"/>
      <c r="E17" s="23"/>
      <c r="F17" s="16"/>
      <c r="G17" s="23"/>
      <c r="H17" s="98"/>
      <c r="I17" s="23"/>
    </row>
    <row r="18">
      <c r="A18" s="23"/>
      <c r="B18" s="23"/>
      <c r="C18" s="23"/>
      <c r="D18" s="26"/>
      <c r="E18" s="23"/>
      <c r="F18" s="16"/>
      <c r="G18" s="23"/>
      <c r="H18" s="98"/>
      <c r="I18" s="23"/>
    </row>
    <row r="19">
      <c r="A19" s="23"/>
      <c r="B19" s="23"/>
      <c r="C19" s="23"/>
      <c r="D19" s="26"/>
      <c r="E19" s="23"/>
      <c r="F19" s="16"/>
      <c r="G19" s="23"/>
      <c r="H19" s="98"/>
      <c r="I19" s="23"/>
    </row>
    <row r="20">
      <c r="A20" s="23"/>
      <c r="B20" s="23"/>
      <c r="C20" s="23"/>
      <c r="D20" s="26"/>
      <c r="E20" s="23"/>
      <c r="F20" s="16"/>
      <c r="G20" s="23"/>
      <c r="H20" s="98"/>
      <c r="I20" s="23"/>
    </row>
    <row r="21">
      <c r="A21" s="23"/>
      <c r="B21" s="23"/>
      <c r="C21" s="23"/>
      <c r="D21" s="26"/>
      <c r="E21" s="23"/>
      <c r="F21" s="16"/>
      <c r="G21" s="23"/>
      <c r="H21" s="98"/>
      <c r="I21" s="23"/>
    </row>
    <row r="22">
      <c r="A22" s="23"/>
      <c r="B22" s="23"/>
      <c r="C22" s="23"/>
      <c r="D22" s="26"/>
      <c r="E22" s="23"/>
      <c r="F22" s="16"/>
      <c r="G22" s="23"/>
      <c r="H22" s="98"/>
      <c r="I22" s="23"/>
    </row>
    <row r="23">
      <c r="A23" s="23"/>
      <c r="B23" s="23"/>
      <c r="C23" s="23"/>
      <c r="D23" s="26"/>
      <c r="E23" s="23"/>
      <c r="F23" s="16"/>
      <c r="G23" s="23"/>
      <c r="H23" s="98"/>
      <c r="I23" s="23"/>
    </row>
  </sheetData>
  <autoFilter ref="$B$1:$C$1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43"/>
    <col customWidth="1" min="2" max="2" width="13.43"/>
    <col customWidth="1" min="3" max="26" width="8.71"/>
  </cols>
  <sheetData>
    <row r="1" ht="14.25" customHeight="1">
      <c r="A1" s="99" t="s">
        <v>140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  <c r="P1" s="99"/>
      <c r="Q1" s="99"/>
      <c r="R1" s="99"/>
      <c r="S1" s="99"/>
      <c r="T1" s="99"/>
      <c r="U1" s="99"/>
      <c r="V1" s="99"/>
      <c r="W1" s="99"/>
      <c r="X1" s="99"/>
      <c r="Y1" s="99"/>
      <c r="Z1" s="99"/>
    </row>
    <row r="2" ht="16.5" customHeight="1">
      <c r="A2" s="100" t="s">
        <v>0</v>
      </c>
      <c r="B2" s="101" t="s">
        <v>4</v>
      </c>
      <c r="C2" s="57" t="s">
        <v>15</v>
      </c>
      <c r="D2" s="57" t="s">
        <v>16</v>
      </c>
      <c r="E2" s="57" t="s">
        <v>17</v>
      </c>
      <c r="F2" s="57" t="s">
        <v>18</v>
      </c>
      <c r="G2" s="57" t="s">
        <v>19</v>
      </c>
      <c r="H2" s="57" t="s">
        <v>20</v>
      </c>
      <c r="I2" s="57" t="s">
        <v>21</v>
      </c>
      <c r="J2" s="57" t="s">
        <v>22</v>
      </c>
    </row>
    <row r="3" ht="16.5" customHeight="1">
      <c r="A3" s="102" t="s">
        <v>10</v>
      </c>
      <c r="B3" s="103" t="s">
        <v>14</v>
      </c>
      <c r="C3" s="104">
        <v>586.8166195899998</v>
      </c>
      <c r="D3" s="104">
        <v>579.6983190599999</v>
      </c>
      <c r="E3" s="104">
        <v>583.8225851499997</v>
      </c>
      <c r="F3" s="104">
        <v>568.4587853600001</v>
      </c>
      <c r="G3" s="104">
        <v>610.49657867</v>
      </c>
      <c r="H3" s="104">
        <v>632.7604635600001</v>
      </c>
      <c r="I3" s="104">
        <v>628.3553178899997</v>
      </c>
      <c r="J3" s="104">
        <v>569.8063510400002</v>
      </c>
    </row>
    <row r="4" ht="16.5" customHeight="1">
      <c r="A4" s="102" t="s">
        <v>10</v>
      </c>
      <c r="B4" s="103" t="s">
        <v>43</v>
      </c>
      <c r="C4" s="104">
        <v>323.80295770000004</v>
      </c>
      <c r="D4" s="104">
        <v>323.56185638</v>
      </c>
      <c r="E4" s="104">
        <v>313.8407567899999</v>
      </c>
      <c r="F4" s="104">
        <v>303.49200321999996</v>
      </c>
      <c r="G4" s="104">
        <v>320.77416784999986</v>
      </c>
      <c r="H4" s="104">
        <v>365.6045335499999</v>
      </c>
      <c r="I4" s="104">
        <v>349.73197272999994</v>
      </c>
      <c r="J4" s="104">
        <v>360.26883966</v>
      </c>
    </row>
    <row r="5" ht="16.5" customHeight="1">
      <c r="A5" s="102" t="s">
        <v>10</v>
      </c>
      <c r="B5" s="103" t="s">
        <v>29</v>
      </c>
      <c r="C5" s="104">
        <v>221.64787619000003</v>
      </c>
      <c r="D5" s="104">
        <v>234.63488596000002</v>
      </c>
      <c r="E5" s="104">
        <v>235.2839364900001</v>
      </c>
      <c r="F5" s="104">
        <v>222.9073075199999</v>
      </c>
      <c r="G5" s="104">
        <v>234.72295137999993</v>
      </c>
      <c r="H5" s="104">
        <v>253.93005180000023</v>
      </c>
      <c r="I5" s="104">
        <v>243.34655315999998</v>
      </c>
      <c r="J5" s="104">
        <v>218.52718456999992</v>
      </c>
    </row>
    <row r="6" ht="16.5" customHeight="1">
      <c r="A6" s="102" t="s">
        <v>23</v>
      </c>
      <c r="B6" s="103" t="s">
        <v>14</v>
      </c>
      <c r="C6" s="104">
        <v>2608.04755179</v>
      </c>
      <c r="D6" s="104">
        <v>2576.9925946</v>
      </c>
      <c r="E6" s="104">
        <v>2663.58750718</v>
      </c>
      <c r="F6" s="104">
        <v>2654.6653989499996</v>
      </c>
      <c r="G6" s="104">
        <v>2731.45774911</v>
      </c>
      <c r="H6" s="104">
        <v>2737.11846264</v>
      </c>
      <c r="I6" s="104">
        <v>2627.00495724</v>
      </c>
      <c r="J6" s="104">
        <v>2449.0283255199997</v>
      </c>
    </row>
    <row r="7" ht="16.5" customHeight="1">
      <c r="A7" s="102" t="s">
        <v>23</v>
      </c>
      <c r="B7" s="103" t="s">
        <v>43</v>
      </c>
      <c r="C7" s="104">
        <v>396.38604316999994</v>
      </c>
      <c r="D7" s="104">
        <v>435.54601575999993</v>
      </c>
      <c r="E7" s="104">
        <v>435.65663937</v>
      </c>
      <c r="F7" s="104">
        <v>454.66795485999995</v>
      </c>
      <c r="G7" s="104">
        <v>453.75211246</v>
      </c>
      <c r="H7" s="104">
        <v>509.06928834999997</v>
      </c>
      <c r="I7" s="104">
        <v>481.16893633999996</v>
      </c>
      <c r="J7" s="104">
        <v>471.20633427999996</v>
      </c>
    </row>
    <row r="8" ht="16.5" customHeight="1">
      <c r="A8" s="102" t="s">
        <v>23</v>
      </c>
      <c r="B8" s="103" t="s">
        <v>29</v>
      </c>
      <c r="C8" s="104">
        <v>927.1369206299998</v>
      </c>
      <c r="D8" s="104">
        <v>1004.1771645399999</v>
      </c>
      <c r="E8" s="104">
        <v>976.1434499299999</v>
      </c>
      <c r="F8" s="104">
        <v>991.4081543699999</v>
      </c>
      <c r="G8" s="104">
        <v>1020.8038636299999</v>
      </c>
      <c r="H8" s="104">
        <v>1060.2067952599998</v>
      </c>
      <c r="I8" s="104">
        <v>1026.16391467</v>
      </c>
      <c r="J8" s="104">
        <v>948.0475344699998</v>
      </c>
    </row>
    <row r="9" ht="16.5" customHeight="1">
      <c r="A9" s="102" t="s">
        <v>24</v>
      </c>
      <c r="B9" s="103" t="s">
        <v>14</v>
      </c>
      <c r="C9" s="104">
        <v>803.2215873199999</v>
      </c>
      <c r="D9" s="104">
        <v>821.0491396699999</v>
      </c>
      <c r="E9" s="104">
        <v>836.3368339599999</v>
      </c>
      <c r="F9" s="104">
        <v>821.95065367</v>
      </c>
      <c r="G9" s="104">
        <v>848.8304416599999</v>
      </c>
      <c r="H9" s="104">
        <v>836.63837898</v>
      </c>
      <c r="I9" s="104">
        <v>795.63955174</v>
      </c>
      <c r="J9" s="104">
        <v>697.2506054199999</v>
      </c>
    </row>
    <row r="10" ht="16.5" customHeight="1">
      <c r="A10" s="102" t="s">
        <v>24</v>
      </c>
      <c r="B10" s="103" t="s">
        <v>43</v>
      </c>
      <c r="C10" s="104">
        <v>58.00590466999999</v>
      </c>
      <c r="D10" s="104">
        <v>70.14516809999999</v>
      </c>
      <c r="E10" s="104">
        <v>76.2016065</v>
      </c>
      <c r="F10" s="104">
        <v>69.51092734999999</v>
      </c>
      <c r="G10" s="104">
        <v>70.26473566</v>
      </c>
      <c r="H10" s="104">
        <v>85.60610155999998</v>
      </c>
      <c r="I10" s="104">
        <v>71.82562387</v>
      </c>
      <c r="J10" s="104">
        <v>60.68931227999999</v>
      </c>
    </row>
    <row r="11" ht="16.5" customHeight="1">
      <c r="A11" s="102" t="s">
        <v>24</v>
      </c>
      <c r="B11" s="103" t="s">
        <v>29</v>
      </c>
      <c r="C11" s="104">
        <v>34.147780749999995</v>
      </c>
      <c r="D11" s="104">
        <v>45.488175989999995</v>
      </c>
      <c r="E11" s="104">
        <v>49.83797764999999</v>
      </c>
      <c r="F11" s="104">
        <v>40.04301448</v>
      </c>
      <c r="G11" s="104">
        <v>37.16673282</v>
      </c>
      <c r="H11" s="104">
        <v>46.720969829999994</v>
      </c>
      <c r="I11" s="104">
        <v>42.88874884999999</v>
      </c>
      <c r="J11" s="104">
        <v>30.596093569999997</v>
      </c>
    </row>
    <row r="12" ht="16.5" customHeight="1">
      <c r="A12" s="102" t="s">
        <v>25</v>
      </c>
      <c r="B12" s="103" t="s">
        <v>14</v>
      </c>
      <c r="C12" s="104">
        <v>697.0914584799999</v>
      </c>
      <c r="D12" s="104">
        <v>683.36738587</v>
      </c>
      <c r="E12" s="104">
        <v>729.13345824</v>
      </c>
      <c r="F12" s="104">
        <v>727.6133551199999</v>
      </c>
      <c r="G12" s="104">
        <v>755.89676131</v>
      </c>
      <c r="H12" s="104">
        <v>759.84158566</v>
      </c>
      <c r="I12" s="104">
        <v>724.5976563199999</v>
      </c>
      <c r="J12" s="104">
        <v>686.22206306</v>
      </c>
    </row>
    <row r="13" ht="16.5" customHeight="1">
      <c r="A13" s="102" t="s">
        <v>25</v>
      </c>
      <c r="B13" s="103" t="s">
        <v>43</v>
      </c>
      <c r="C13" s="104">
        <v>115.63436109</v>
      </c>
      <c r="D13" s="104">
        <v>134.16463105999998</v>
      </c>
      <c r="E13" s="104">
        <v>123.55145861999999</v>
      </c>
      <c r="F13" s="104">
        <v>137.76844739999999</v>
      </c>
      <c r="G13" s="104">
        <v>158.05608319999996</v>
      </c>
      <c r="H13" s="104">
        <v>164.91314467999996</v>
      </c>
      <c r="I13" s="104">
        <v>147.33763544</v>
      </c>
      <c r="J13" s="104">
        <v>146.78064487999998</v>
      </c>
    </row>
    <row r="14" ht="16.5" customHeight="1">
      <c r="A14" s="102" t="s">
        <v>25</v>
      </c>
      <c r="B14" s="103" t="s">
        <v>29</v>
      </c>
      <c r="C14" s="104">
        <v>160.9614827</v>
      </c>
      <c r="D14" s="104">
        <v>165.44599391999998</v>
      </c>
      <c r="E14" s="104">
        <v>169.11343490999997</v>
      </c>
      <c r="F14" s="104">
        <v>172.24458128999999</v>
      </c>
      <c r="G14" s="104">
        <v>182.20813932999997</v>
      </c>
      <c r="H14" s="104">
        <v>186.32174838999998</v>
      </c>
      <c r="I14" s="104">
        <v>174.43920852999997</v>
      </c>
      <c r="J14" s="104">
        <v>147.84656031999998</v>
      </c>
    </row>
    <row r="15" ht="16.5" customHeight="1">
      <c r="A15" s="102" t="s">
        <v>26</v>
      </c>
      <c r="B15" s="103" t="s">
        <v>14</v>
      </c>
      <c r="C15" s="104">
        <v>1107.73450712</v>
      </c>
      <c r="D15" s="104">
        <v>1072.57606906</v>
      </c>
      <c r="E15" s="104">
        <v>1098.1172161099998</v>
      </c>
      <c r="F15" s="104">
        <v>1105.10139016</v>
      </c>
      <c r="G15" s="104">
        <v>1126.73054614</v>
      </c>
      <c r="H15" s="104">
        <v>1140.63849913</v>
      </c>
      <c r="I15" s="104">
        <v>1106.7677503099999</v>
      </c>
      <c r="J15" s="104">
        <v>1065.5556581699998</v>
      </c>
    </row>
    <row r="16" ht="16.5" customHeight="1">
      <c r="A16" s="102" t="s">
        <v>26</v>
      </c>
      <c r="B16" s="103" t="s">
        <v>43</v>
      </c>
      <c r="C16" s="104">
        <v>222.74577741</v>
      </c>
      <c r="D16" s="104">
        <v>231.23621773</v>
      </c>
      <c r="E16" s="104">
        <v>235.90357425</v>
      </c>
      <c r="F16" s="104">
        <v>247.38858010999996</v>
      </c>
      <c r="G16" s="104">
        <v>225.4312936</v>
      </c>
      <c r="H16" s="104">
        <v>258.55004097999995</v>
      </c>
      <c r="I16" s="104">
        <v>262.00567702999996</v>
      </c>
      <c r="J16" s="104">
        <v>263.73637712</v>
      </c>
    </row>
    <row r="17" ht="16.5" customHeight="1">
      <c r="A17" s="102" t="s">
        <v>26</v>
      </c>
      <c r="B17" s="103" t="s">
        <v>29</v>
      </c>
      <c r="C17" s="104">
        <v>732.0276560499999</v>
      </c>
      <c r="D17" s="104">
        <v>793.24299463</v>
      </c>
      <c r="E17" s="104">
        <v>757.1920385</v>
      </c>
      <c r="F17" s="104">
        <v>779.1205585999999</v>
      </c>
      <c r="G17" s="104">
        <v>801.4289914799999</v>
      </c>
      <c r="H17" s="104">
        <v>827.1640770399999</v>
      </c>
      <c r="I17" s="104">
        <v>808.8359572899999</v>
      </c>
      <c r="J17" s="104">
        <v>769.60487945</v>
      </c>
    </row>
    <row r="18" ht="14.25" customHeight="1"/>
    <row r="19" ht="14.25" customHeight="1">
      <c r="A19" s="99" t="s">
        <v>50</v>
      </c>
      <c r="B19" s="99"/>
      <c r="C19" s="99"/>
      <c r="D19" s="99"/>
      <c r="E19" s="99"/>
      <c r="F19" s="99"/>
      <c r="G19" s="99"/>
      <c r="H19" s="99"/>
      <c r="I19" s="99"/>
      <c r="J19" s="99"/>
      <c r="K19" s="99"/>
      <c r="L19" s="99"/>
      <c r="M19" s="99"/>
      <c r="N19" s="99"/>
      <c r="O19" s="99"/>
      <c r="P19" s="99"/>
      <c r="Q19" s="99"/>
      <c r="R19" s="99"/>
      <c r="S19" s="99"/>
      <c r="T19" s="99"/>
      <c r="U19" s="99"/>
      <c r="V19" s="99"/>
      <c r="W19" s="99"/>
      <c r="X19" s="99"/>
      <c r="Y19" s="99"/>
      <c r="Z19" s="99"/>
    </row>
    <row r="20" ht="14.25" customHeight="1">
      <c r="A20" s="100" t="s">
        <v>0</v>
      </c>
      <c r="B20" s="101" t="s">
        <v>4</v>
      </c>
      <c r="C20" s="57" t="s">
        <v>15</v>
      </c>
      <c r="D20" s="57" t="s">
        <v>16</v>
      </c>
      <c r="E20" s="57" t="s">
        <v>17</v>
      </c>
      <c r="F20" s="57" t="s">
        <v>18</v>
      </c>
      <c r="G20" s="57" t="s">
        <v>19</v>
      </c>
      <c r="H20" s="57" t="s">
        <v>20</v>
      </c>
      <c r="I20" s="57" t="s">
        <v>21</v>
      </c>
      <c r="J20" s="57" t="s">
        <v>22</v>
      </c>
    </row>
    <row r="21" ht="14.25" customHeight="1">
      <c r="A21" s="102" t="s">
        <v>10</v>
      </c>
      <c r="B21" s="103" t="s">
        <v>14</v>
      </c>
      <c r="C21" s="105">
        <v>51.427445585193155</v>
      </c>
      <c r="D21" s="105">
        <v>50.59373798989206</v>
      </c>
      <c r="E21" s="105">
        <v>51.03273722090711</v>
      </c>
      <c r="F21" s="105">
        <v>51.47877613997104</v>
      </c>
      <c r="G21" s="105">
        <v>51.76544238346798</v>
      </c>
      <c r="H21" s="105">
        <v>50.00579085379305</v>
      </c>
      <c r="I21" s="105">
        <v>50.899334092160565</v>
      </c>
      <c r="J21" s="105">
        <v>49.0293691491221</v>
      </c>
    </row>
    <row r="22" ht="14.25" customHeight="1">
      <c r="A22" s="102" t="s">
        <v>10</v>
      </c>
      <c r="B22" s="103" t="s">
        <v>43</v>
      </c>
      <c r="C22" s="105">
        <v>28.3774494987482</v>
      </c>
      <c r="D22" s="105">
        <v>28.239177598026565</v>
      </c>
      <c r="E22" s="105">
        <v>27.433253316775513</v>
      </c>
      <c r="F22" s="105">
        <v>27.48378122811416</v>
      </c>
      <c r="G22" s="105">
        <v>27.199196988325447</v>
      </c>
      <c r="H22" s="105">
        <v>28.89299330909647</v>
      </c>
      <c r="I22" s="105">
        <v>28.329710938820973</v>
      </c>
      <c r="J22" s="105">
        <v>30.99957362773591</v>
      </c>
    </row>
    <row r="23" ht="14.25" customHeight="1">
      <c r="A23" s="102" t="s">
        <v>10</v>
      </c>
      <c r="B23" s="103" t="s">
        <v>29</v>
      </c>
      <c r="C23" s="105">
        <v>19.42478060658715</v>
      </c>
      <c r="D23" s="105">
        <v>20.477989245850768</v>
      </c>
      <c r="E23" s="105">
        <v>20.56649332966419</v>
      </c>
      <c r="F23" s="105">
        <v>20.186151888775438</v>
      </c>
      <c r="G23" s="105">
        <v>19.902711727245954</v>
      </c>
      <c r="H23" s="105">
        <v>20.067582905485356</v>
      </c>
      <c r="I23" s="105">
        <v>19.712059652903076</v>
      </c>
      <c r="J23" s="105">
        <v>18.803317972580352</v>
      </c>
    </row>
    <row r="24" ht="14.25" customHeight="1">
      <c r="A24" s="102" t="s">
        <v>23</v>
      </c>
      <c r="B24" s="103" t="s">
        <v>14</v>
      </c>
      <c r="C24" s="105">
        <v>66.22210061977134</v>
      </c>
      <c r="D24" s="105">
        <v>64.0629539145618</v>
      </c>
      <c r="E24" s="105">
        <v>65.24971494646752</v>
      </c>
      <c r="F24" s="105">
        <v>64.65799730726462</v>
      </c>
      <c r="G24" s="105">
        <v>64.87198462896596</v>
      </c>
      <c r="H24" s="105">
        <v>63.49143942365</v>
      </c>
      <c r="I24" s="105">
        <v>63.47130626946378</v>
      </c>
      <c r="J24" s="105">
        <v>63.21978997719585</v>
      </c>
    </row>
    <row r="25" ht="14.25" customHeight="1">
      <c r="A25" s="102" t="s">
        <v>23</v>
      </c>
      <c r="B25" s="103" t="s">
        <v>43</v>
      </c>
      <c r="C25" s="105">
        <v>10.064815120821223</v>
      </c>
      <c r="D25" s="105">
        <v>10.827491081570177</v>
      </c>
      <c r="E25" s="105">
        <v>10.672249909868455</v>
      </c>
      <c r="F25" s="105">
        <v>11.07405830228742</v>
      </c>
      <c r="G25" s="105">
        <v>10.776589926919836</v>
      </c>
      <c r="H25" s="105">
        <v>11.80860175578222</v>
      </c>
      <c r="I25" s="105">
        <v>11.62556653790057</v>
      </c>
      <c r="J25" s="105">
        <v>12.16383051951053</v>
      </c>
    </row>
    <row r="26" ht="14.25" customHeight="1">
      <c r="A26" s="102" t="s">
        <v>23</v>
      </c>
      <c r="B26" s="103" t="s">
        <v>29</v>
      </c>
      <c r="C26" s="105">
        <v>23.541347781073164</v>
      </c>
      <c r="D26" s="105">
        <v>24.963422692321217</v>
      </c>
      <c r="E26" s="105">
        <v>23.912517115770367</v>
      </c>
      <c r="F26" s="105">
        <v>24.147098086640263</v>
      </c>
      <c r="G26" s="105">
        <v>24.24404059413755</v>
      </c>
      <c r="H26" s="105">
        <v>24.59303696079955</v>
      </c>
      <c r="I26" s="105">
        <v>24.793239895184975</v>
      </c>
      <c r="J26" s="105">
        <v>24.473120785512236</v>
      </c>
    </row>
    <row r="27" ht="14.25" customHeight="1">
      <c r="A27" s="102" t="s">
        <v>24</v>
      </c>
      <c r="B27" s="103" t="s">
        <v>14</v>
      </c>
      <c r="C27" s="105">
        <v>89.70715520810316</v>
      </c>
      <c r="D27" s="105">
        <v>87.65403006587873</v>
      </c>
      <c r="E27" s="105">
        <v>86.90310506536672</v>
      </c>
      <c r="F27" s="105">
        <v>88.23900926541553</v>
      </c>
      <c r="G27" s="105">
        <v>88.76547655607536</v>
      </c>
      <c r="H27" s="105">
        <v>86.3434684575026</v>
      </c>
      <c r="I27" s="105">
        <v>87.39892599458635</v>
      </c>
      <c r="J27" s="105">
        <v>88.42209679779066</v>
      </c>
    </row>
    <row r="28" ht="14.25" customHeight="1">
      <c r="A28" s="102" t="s">
        <v>24</v>
      </c>
      <c r="B28" s="103" t="s">
        <v>43</v>
      </c>
      <c r="C28" s="105">
        <v>6.478342683219066</v>
      </c>
      <c r="D28" s="105">
        <v>7.488597669178187</v>
      </c>
      <c r="E28" s="105">
        <v>7.918049220029872</v>
      </c>
      <c r="F28" s="105">
        <v>7.462218486107326</v>
      </c>
      <c r="G28" s="105">
        <v>7.347854694924847</v>
      </c>
      <c r="H28" s="105">
        <v>8.834793998844653</v>
      </c>
      <c r="I28" s="105">
        <v>7.889857123619325</v>
      </c>
      <c r="J28" s="105">
        <v>7.696337878087668</v>
      </c>
    </row>
    <row r="29" ht="14.25" customHeight="1">
      <c r="A29" s="102" t="s">
        <v>24</v>
      </c>
      <c r="B29" s="103" t="s">
        <v>29</v>
      </c>
      <c r="C29" s="105">
        <v>3.8137673540042965</v>
      </c>
      <c r="D29" s="105">
        <v>4.8562525106256205</v>
      </c>
      <c r="E29" s="105">
        <v>5.178625204698915</v>
      </c>
      <c r="F29" s="105">
        <v>4.298744590006097</v>
      </c>
      <c r="G29" s="105">
        <v>3.886668748999808</v>
      </c>
      <c r="H29" s="105">
        <v>4.821737427033538</v>
      </c>
      <c r="I29" s="105">
        <v>4.71121700592188</v>
      </c>
      <c r="J29" s="105">
        <v>3.8800550709470913</v>
      </c>
    </row>
    <row r="30" ht="14.25" customHeight="1">
      <c r="A30" s="102" t="s">
        <v>25</v>
      </c>
      <c r="B30" s="103" t="s">
        <v>14</v>
      </c>
      <c r="C30" s="105">
        <v>71.33245326031616</v>
      </c>
      <c r="D30" s="105">
        <v>69.31204591547937</v>
      </c>
      <c r="E30" s="105">
        <v>71.11560548656203</v>
      </c>
      <c r="F30" s="105">
        <v>70.00499225059984</v>
      </c>
      <c r="G30" s="105">
        <v>68.83425580001516</v>
      </c>
      <c r="H30" s="105">
        <v>68.22304392323998</v>
      </c>
      <c r="I30" s="105">
        <v>69.05849737163413</v>
      </c>
      <c r="J30" s="105">
        <v>69.84417026286253</v>
      </c>
    </row>
    <row r="31" ht="14.25" customHeight="1">
      <c r="A31" s="102" t="s">
        <v>25</v>
      </c>
      <c r="B31" s="103" t="s">
        <v>43</v>
      </c>
      <c r="C31" s="105">
        <v>11.832712275265388</v>
      </c>
      <c r="D31" s="105">
        <v>13.607943926713967</v>
      </c>
      <c r="E31" s="105">
        <v>12.050519269432689</v>
      </c>
      <c r="F31" s="105">
        <v>13.254950620063285</v>
      </c>
      <c r="G31" s="105">
        <v>14.393067173462098</v>
      </c>
      <c r="H31" s="105">
        <v>14.806871491839619</v>
      </c>
      <c r="I31" s="105">
        <v>14.042159288026374</v>
      </c>
      <c r="J31" s="105">
        <v>14.939438563920257</v>
      </c>
    </row>
    <row r="32" ht="14.25" customHeight="1">
      <c r="A32" s="102" t="s">
        <v>25</v>
      </c>
      <c r="B32" s="103" t="s">
        <v>29</v>
      </c>
      <c r="C32" s="105">
        <v>16.4709770887809</v>
      </c>
      <c r="D32" s="105">
        <v>16.780725220762367</v>
      </c>
      <c r="E32" s="105">
        <v>16.49437998438181</v>
      </c>
      <c r="F32" s="105">
        <v>16.57196159686435</v>
      </c>
      <c r="G32" s="105">
        <v>16.592426788216343</v>
      </c>
      <c r="H32" s="105">
        <v>16.729061773086105</v>
      </c>
      <c r="I32" s="105">
        <v>16.62510155630273</v>
      </c>
      <c r="J32" s="105">
        <v>15.047928196482047</v>
      </c>
    </row>
    <row r="33" ht="14.25" customHeight="1">
      <c r="A33" s="102" t="s">
        <v>26</v>
      </c>
      <c r="B33" s="103" t="s">
        <v>14</v>
      </c>
      <c r="C33" s="105">
        <v>53.624902070564836</v>
      </c>
      <c r="D33" s="105">
        <v>51.07572303689384</v>
      </c>
      <c r="E33" s="105">
        <v>52.428944074994696</v>
      </c>
      <c r="F33" s="105">
        <v>51.765439035607976</v>
      </c>
      <c r="G33" s="105">
        <v>52.25700800894052</v>
      </c>
      <c r="H33" s="105">
        <v>51.1892457479934</v>
      </c>
      <c r="I33" s="105">
        <v>50.7859360549248</v>
      </c>
      <c r="J33" s="105">
        <v>50.673676573485324</v>
      </c>
    </row>
    <row r="34" ht="14.25" customHeight="1">
      <c r="A34" s="102" t="s">
        <v>26</v>
      </c>
      <c r="B34" s="103" t="s">
        <v>43</v>
      </c>
      <c r="C34" s="105">
        <v>10.78301743194601</v>
      </c>
      <c r="D34" s="105">
        <v>11.011393367397307</v>
      </c>
      <c r="E34" s="105">
        <v>11.263073850401844</v>
      </c>
      <c r="F34" s="105">
        <v>11.58823848727193</v>
      </c>
      <c r="G34" s="105">
        <v>10.455352395902183</v>
      </c>
      <c r="H34" s="105">
        <v>11.603134205950184</v>
      </c>
      <c r="I34" s="105">
        <v>12.022579765218005</v>
      </c>
      <c r="J34" s="105">
        <v>12.542274795662953</v>
      </c>
    </row>
    <row r="35" ht="14.25" customHeight="1">
      <c r="A35" s="102" t="s">
        <v>26</v>
      </c>
      <c r="B35" s="103" t="s">
        <v>29</v>
      </c>
      <c r="C35" s="105">
        <v>35.437111615025195</v>
      </c>
      <c r="D35" s="105">
        <v>37.77397302010074</v>
      </c>
      <c r="E35" s="105">
        <v>36.15167712348392</v>
      </c>
      <c r="F35" s="105">
        <v>36.49576241303778</v>
      </c>
      <c r="G35" s="105">
        <v>37.16973980144825</v>
      </c>
      <c r="H35" s="105">
        <v>37.121230999837515</v>
      </c>
      <c r="I35" s="105">
        <v>37.114824853134934</v>
      </c>
      <c r="J35" s="105">
        <v>36.59941031855848</v>
      </c>
    </row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</sheetData>
  <printOptions/>
  <pageMargins bottom="0.75" footer="0.0" header="0.0" left="0.7" right="0.7" top="0.75"/>
  <pageSetup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43"/>
    <col customWidth="1" min="2" max="2" width="13.0"/>
    <col customWidth="1" min="3" max="26" width="8.71"/>
  </cols>
  <sheetData>
    <row r="1" ht="16.5" customHeight="1">
      <c r="A1" s="100" t="s">
        <v>0</v>
      </c>
      <c r="B1" s="101" t="s">
        <v>4</v>
      </c>
      <c r="C1" s="57" t="s">
        <v>15</v>
      </c>
      <c r="D1" s="57" t="s">
        <v>16</v>
      </c>
      <c r="E1" s="57" t="s">
        <v>17</v>
      </c>
      <c r="F1" s="57" t="s">
        <v>18</v>
      </c>
      <c r="G1" s="57" t="s">
        <v>19</v>
      </c>
      <c r="H1" s="57" t="s">
        <v>20</v>
      </c>
      <c r="I1" s="57" t="s">
        <v>21</v>
      </c>
      <c r="J1" s="57" t="s">
        <v>22</v>
      </c>
    </row>
    <row r="2" ht="16.5" customHeight="1">
      <c r="A2" s="102" t="s">
        <v>10</v>
      </c>
      <c r="B2" s="103" t="s">
        <v>14</v>
      </c>
      <c r="C2" s="105">
        <v>51.427445585193155</v>
      </c>
      <c r="D2" s="105">
        <v>50.59373798989206</v>
      </c>
      <c r="E2" s="105">
        <v>51.03273722090711</v>
      </c>
      <c r="F2" s="105">
        <v>51.47877613997104</v>
      </c>
      <c r="G2" s="105">
        <v>51.76544238346798</v>
      </c>
      <c r="H2" s="105">
        <v>50.00579085379305</v>
      </c>
      <c r="I2" s="105">
        <v>50.899334092160565</v>
      </c>
      <c r="J2" s="105">
        <v>49.0293691491221</v>
      </c>
    </row>
    <row r="3" ht="16.5" customHeight="1">
      <c r="A3" s="102" t="s">
        <v>10</v>
      </c>
      <c r="B3" s="103" t="s">
        <v>43</v>
      </c>
      <c r="C3" s="105">
        <v>28.3774494987482</v>
      </c>
      <c r="D3" s="105">
        <v>28.239177598026565</v>
      </c>
      <c r="E3" s="105">
        <v>27.433253316775513</v>
      </c>
      <c r="F3" s="105">
        <v>27.48378122811416</v>
      </c>
      <c r="G3" s="105">
        <v>27.199196988325447</v>
      </c>
      <c r="H3" s="105">
        <v>28.89299330909647</v>
      </c>
      <c r="I3" s="105">
        <v>28.329710938820973</v>
      </c>
      <c r="J3" s="105">
        <v>30.99957362773591</v>
      </c>
    </row>
    <row r="4" ht="16.5" customHeight="1">
      <c r="A4" s="102" t="s">
        <v>10</v>
      </c>
      <c r="B4" s="103" t="s">
        <v>29</v>
      </c>
      <c r="C4" s="105">
        <v>19.42478060658715</v>
      </c>
      <c r="D4" s="105">
        <v>20.477989245850768</v>
      </c>
      <c r="E4" s="105">
        <v>20.56649332966419</v>
      </c>
      <c r="F4" s="105">
        <v>20.186151888775438</v>
      </c>
      <c r="G4" s="105">
        <v>19.902711727245954</v>
      </c>
      <c r="H4" s="105">
        <v>20.067582905485356</v>
      </c>
      <c r="I4" s="105">
        <v>19.712059652903076</v>
      </c>
      <c r="J4" s="105">
        <v>18.803317972580352</v>
      </c>
    </row>
    <row r="5" ht="16.5" customHeight="1">
      <c r="A5" s="102" t="s">
        <v>23</v>
      </c>
      <c r="B5" s="103" t="s">
        <v>14</v>
      </c>
      <c r="C5" s="105">
        <v>66.22210061977134</v>
      </c>
      <c r="D5" s="105">
        <v>64.0629539145618</v>
      </c>
      <c r="E5" s="105">
        <v>65.24971494646752</v>
      </c>
      <c r="F5" s="105">
        <v>64.65799730726462</v>
      </c>
      <c r="G5" s="105">
        <v>64.87198462896596</v>
      </c>
      <c r="H5" s="105">
        <v>63.49143942365</v>
      </c>
      <c r="I5" s="105">
        <v>63.47130626946378</v>
      </c>
      <c r="J5" s="105">
        <v>63.21978997719585</v>
      </c>
    </row>
    <row r="6" ht="16.5" customHeight="1">
      <c r="A6" s="102" t="s">
        <v>23</v>
      </c>
      <c r="B6" s="103" t="s">
        <v>43</v>
      </c>
      <c r="C6" s="105">
        <v>10.064815120821223</v>
      </c>
      <c r="D6" s="105">
        <v>10.827491081570177</v>
      </c>
      <c r="E6" s="105">
        <v>10.672249909868455</v>
      </c>
      <c r="F6" s="105">
        <v>11.07405830228742</v>
      </c>
      <c r="G6" s="105">
        <v>10.776589926919836</v>
      </c>
      <c r="H6" s="105">
        <v>11.80860175578222</v>
      </c>
      <c r="I6" s="105">
        <v>11.62556653790057</v>
      </c>
      <c r="J6" s="105">
        <v>12.16383051951053</v>
      </c>
    </row>
    <row r="7" ht="16.5" customHeight="1">
      <c r="A7" s="102" t="s">
        <v>23</v>
      </c>
      <c r="B7" s="103" t="s">
        <v>29</v>
      </c>
      <c r="C7" s="105">
        <v>23.541347781073164</v>
      </c>
      <c r="D7" s="105">
        <v>24.963422692321217</v>
      </c>
      <c r="E7" s="105">
        <v>23.912517115770367</v>
      </c>
      <c r="F7" s="105">
        <v>24.147098086640263</v>
      </c>
      <c r="G7" s="105">
        <v>24.24404059413755</v>
      </c>
      <c r="H7" s="105">
        <v>24.59303696079955</v>
      </c>
      <c r="I7" s="105">
        <v>24.793239895184975</v>
      </c>
      <c r="J7" s="105">
        <v>24.473120785512236</v>
      </c>
    </row>
    <row r="8" ht="16.5" customHeight="1">
      <c r="A8" s="102" t="s">
        <v>24</v>
      </c>
      <c r="B8" s="103" t="s">
        <v>14</v>
      </c>
      <c r="C8" s="105">
        <v>89.70715520810316</v>
      </c>
      <c r="D8" s="105">
        <v>87.65403006587873</v>
      </c>
      <c r="E8" s="105">
        <v>86.90310506536672</v>
      </c>
      <c r="F8" s="105">
        <v>88.23900926541553</v>
      </c>
      <c r="G8" s="105">
        <v>88.76547655607536</v>
      </c>
      <c r="H8" s="105">
        <v>86.3434684575026</v>
      </c>
      <c r="I8" s="105">
        <v>87.39892599458635</v>
      </c>
      <c r="J8" s="105">
        <v>88.42209679779066</v>
      </c>
    </row>
    <row r="9" ht="16.5" customHeight="1">
      <c r="A9" s="102" t="s">
        <v>24</v>
      </c>
      <c r="B9" s="103" t="s">
        <v>43</v>
      </c>
      <c r="C9" s="105">
        <v>6.478342683219066</v>
      </c>
      <c r="D9" s="105">
        <v>7.488597669178187</v>
      </c>
      <c r="E9" s="105">
        <v>7.918049220029872</v>
      </c>
      <c r="F9" s="105">
        <v>7.462218486107326</v>
      </c>
      <c r="G9" s="105">
        <v>7.347854694924847</v>
      </c>
      <c r="H9" s="105">
        <v>8.834793998844653</v>
      </c>
      <c r="I9" s="105">
        <v>7.889857123619325</v>
      </c>
      <c r="J9" s="105">
        <v>7.696337878087668</v>
      </c>
    </row>
    <row r="10" ht="16.5" customHeight="1">
      <c r="A10" s="102" t="s">
        <v>24</v>
      </c>
      <c r="B10" s="103" t="s">
        <v>29</v>
      </c>
      <c r="C10" s="105">
        <v>3.8137673540042965</v>
      </c>
      <c r="D10" s="105">
        <v>4.8562525106256205</v>
      </c>
      <c r="E10" s="105">
        <v>5.178625204698915</v>
      </c>
      <c r="F10" s="105">
        <v>4.298744590006097</v>
      </c>
      <c r="G10" s="105">
        <v>3.886668748999808</v>
      </c>
      <c r="H10" s="105">
        <v>4.821737427033538</v>
      </c>
      <c r="I10" s="105">
        <v>4.71121700592188</v>
      </c>
      <c r="J10" s="105">
        <v>3.8800550709470913</v>
      </c>
    </row>
    <row r="11" ht="16.5" customHeight="1">
      <c r="A11" s="102" t="s">
        <v>25</v>
      </c>
      <c r="B11" s="103" t="s">
        <v>14</v>
      </c>
      <c r="C11" s="105">
        <v>71.33245326031616</v>
      </c>
      <c r="D11" s="105">
        <v>69.31204591547937</v>
      </c>
      <c r="E11" s="105">
        <v>71.11560548656203</v>
      </c>
      <c r="F11" s="105">
        <v>70.00499225059984</v>
      </c>
      <c r="G11" s="105">
        <v>68.83425580001516</v>
      </c>
      <c r="H11" s="105">
        <v>68.22304392323998</v>
      </c>
      <c r="I11" s="105">
        <v>69.05849737163413</v>
      </c>
      <c r="J11" s="105">
        <v>69.84417026286253</v>
      </c>
    </row>
    <row r="12" ht="16.5" customHeight="1">
      <c r="A12" s="102" t="s">
        <v>25</v>
      </c>
      <c r="B12" s="103" t="s">
        <v>43</v>
      </c>
      <c r="C12" s="105">
        <v>11.832712275265388</v>
      </c>
      <c r="D12" s="105">
        <v>13.607943926713967</v>
      </c>
      <c r="E12" s="105">
        <v>12.050519269432689</v>
      </c>
      <c r="F12" s="105">
        <v>13.254950620063285</v>
      </c>
      <c r="G12" s="105">
        <v>14.393067173462098</v>
      </c>
      <c r="H12" s="105">
        <v>14.806871491839619</v>
      </c>
      <c r="I12" s="105">
        <v>14.042159288026374</v>
      </c>
      <c r="J12" s="105">
        <v>14.939438563920257</v>
      </c>
    </row>
    <row r="13" ht="16.5" customHeight="1">
      <c r="A13" s="102" t="s">
        <v>25</v>
      </c>
      <c r="B13" s="103" t="s">
        <v>29</v>
      </c>
      <c r="C13" s="105">
        <v>16.4709770887809</v>
      </c>
      <c r="D13" s="105">
        <v>16.780725220762367</v>
      </c>
      <c r="E13" s="105">
        <v>16.49437998438181</v>
      </c>
      <c r="F13" s="105">
        <v>16.57196159686435</v>
      </c>
      <c r="G13" s="105">
        <v>16.592426788216343</v>
      </c>
      <c r="H13" s="105">
        <v>16.729061773086105</v>
      </c>
      <c r="I13" s="105">
        <v>16.62510155630273</v>
      </c>
      <c r="J13" s="105">
        <v>15.047928196482047</v>
      </c>
    </row>
    <row r="14" ht="16.5" customHeight="1">
      <c r="A14" s="102" t="s">
        <v>26</v>
      </c>
      <c r="B14" s="103" t="s">
        <v>14</v>
      </c>
      <c r="C14" s="105">
        <v>53.624902070564836</v>
      </c>
      <c r="D14" s="105">
        <v>51.07572303689384</v>
      </c>
      <c r="E14" s="105">
        <v>52.428944074994696</v>
      </c>
      <c r="F14" s="105">
        <v>51.765439035607976</v>
      </c>
      <c r="G14" s="105">
        <v>52.25700800894052</v>
      </c>
      <c r="H14" s="105">
        <v>51.1892457479934</v>
      </c>
      <c r="I14" s="105">
        <v>50.7859360549248</v>
      </c>
      <c r="J14" s="105">
        <v>50.673676573485324</v>
      </c>
    </row>
    <row r="15" ht="16.5" customHeight="1">
      <c r="A15" s="102" t="s">
        <v>26</v>
      </c>
      <c r="B15" s="103" t="s">
        <v>43</v>
      </c>
      <c r="C15" s="105">
        <v>10.78301743194601</v>
      </c>
      <c r="D15" s="105">
        <v>11.011393367397307</v>
      </c>
      <c r="E15" s="105">
        <v>11.263073850401844</v>
      </c>
      <c r="F15" s="105">
        <v>11.58823848727193</v>
      </c>
      <c r="G15" s="105">
        <v>10.455352395902183</v>
      </c>
      <c r="H15" s="105">
        <v>11.603134205950184</v>
      </c>
      <c r="I15" s="105">
        <v>12.022579765218005</v>
      </c>
      <c r="J15" s="105">
        <v>12.542274795662953</v>
      </c>
    </row>
    <row r="16" ht="16.5" customHeight="1">
      <c r="A16" s="102" t="s">
        <v>26</v>
      </c>
      <c r="B16" s="103" t="s">
        <v>29</v>
      </c>
      <c r="C16" s="105">
        <v>35.437111615025195</v>
      </c>
      <c r="D16" s="105">
        <v>37.77397302010074</v>
      </c>
      <c r="E16" s="105">
        <v>36.15167712348392</v>
      </c>
      <c r="F16" s="105">
        <v>36.49576241303778</v>
      </c>
      <c r="G16" s="105">
        <v>37.16973980144825</v>
      </c>
      <c r="H16" s="105">
        <v>37.121230999837515</v>
      </c>
      <c r="I16" s="105">
        <v>37.114824853134934</v>
      </c>
      <c r="J16" s="105">
        <v>36.59941031855848</v>
      </c>
    </row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80.86"/>
    <col customWidth="1" min="3" max="3" width="11.71"/>
    <col customWidth="1" min="4" max="4" width="11.29"/>
    <col customWidth="1" min="5" max="5" width="17.57"/>
    <col customWidth="1" min="6" max="6" width="18.57"/>
    <col customWidth="1" min="7" max="26" width="8.71"/>
  </cols>
  <sheetData>
    <row r="1" ht="14.25" customHeight="1">
      <c r="A1" s="8" t="s">
        <v>141</v>
      </c>
      <c r="B1" s="8" t="s">
        <v>142</v>
      </c>
      <c r="C1" s="8" t="s">
        <v>143</v>
      </c>
      <c r="D1" s="8" t="s">
        <v>144</v>
      </c>
      <c r="E1" s="8" t="s">
        <v>145</v>
      </c>
      <c r="F1" s="8" t="s">
        <v>146</v>
      </c>
    </row>
    <row r="2" ht="14.25" customHeight="1">
      <c r="A2" s="3" t="s">
        <v>147</v>
      </c>
      <c r="B2" s="3" t="s">
        <v>148</v>
      </c>
      <c r="C2" s="3">
        <v>94.41</v>
      </c>
      <c r="D2" s="3">
        <v>98.11</v>
      </c>
      <c r="E2" s="3">
        <v>586.0</v>
      </c>
      <c r="F2" s="3">
        <v>366.0</v>
      </c>
    </row>
    <row r="3" ht="14.25" customHeight="1">
      <c r="A3" s="3" t="s">
        <v>147</v>
      </c>
      <c r="B3" s="3" t="s">
        <v>149</v>
      </c>
      <c r="C3" s="3">
        <v>5.59</v>
      </c>
      <c r="D3" s="3">
        <v>1.89</v>
      </c>
      <c r="E3" s="3">
        <v>586.0</v>
      </c>
      <c r="F3" s="3">
        <v>366.0</v>
      </c>
    </row>
    <row r="4" ht="14.25" customHeight="1">
      <c r="A4" s="3" t="s">
        <v>150</v>
      </c>
      <c r="B4" s="3" t="s">
        <v>151</v>
      </c>
      <c r="C4" s="3">
        <v>61.97</v>
      </c>
      <c r="D4" s="3">
        <v>50.65</v>
      </c>
      <c r="E4" s="3">
        <v>586.0</v>
      </c>
      <c r="F4" s="3">
        <v>366.0</v>
      </c>
    </row>
    <row r="5" ht="14.25" customHeight="1">
      <c r="A5" s="3" t="s">
        <v>150</v>
      </c>
      <c r="B5" s="3" t="s">
        <v>152</v>
      </c>
      <c r="C5" s="3">
        <v>38.03</v>
      </c>
      <c r="D5" s="3">
        <v>49.35</v>
      </c>
      <c r="E5" s="3">
        <v>586.0</v>
      </c>
      <c r="F5" s="3">
        <v>366.0</v>
      </c>
    </row>
    <row r="6" ht="14.25" customHeight="1">
      <c r="A6" s="3" t="s">
        <v>153</v>
      </c>
      <c r="B6" s="3" t="s">
        <v>154</v>
      </c>
      <c r="C6" s="3">
        <v>7.56</v>
      </c>
      <c r="D6" s="3">
        <v>24.72</v>
      </c>
      <c r="E6" s="3">
        <v>586.0</v>
      </c>
      <c r="F6" s="3">
        <v>366.0</v>
      </c>
    </row>
    <row r="7" ht="14.25" customHeight="1">
      <c r="A7" s="3" t="s">
        <v>153</v>
      </c>
      <c r="B7" s="3" t="s">
        <v>155</v>
      </c>
      <c r="C7" s="3">
        <v>92.44</v>
      </c>
      <c r="D7" s="3">
        <v>75.28</v>
      </c>
      <c r="E7" s="3">
        <v>586.0</v>
      </c>
      <c r="F7" s="3">
        <v>366.0</v>
      </c>
    </row>
    <row r="8" ht="14.25" customHeight="1">
      <c r="A8" s="3" t="s">
        <v>156</v>
      </c>
      <c r="B8" s="3" t="s">
        <v>154</v>
      </c>
      <c r="C8" s="3">
        <v>49.2</v>
      </c>
      <c r="D8" s="3">
        <v>71.68</v>
      </c>
      <c r="E8" s="3">
        <v>121.0</v>
      </c>
      <c r="F8" s="3">
        <v>139.0</v>
      </c>
    </row>
    <row r="9" ht="14.25" customHeight="1">
      <c r="A9" s="3" t="s">
        <v>156</v>
      </c>
      <c r="B9" s="3" t="s">
        <v>155</v>
      </c>
      <c r="C9" s="3">
        <v>50.8</v>
      </c>
      <c r="D9" s="3">
        <v>28.32</v>
      </c>
      <c r="E9" s="3">
        <v>121.0</v>
      </c>
      <c r="F9" s="3">
        <v>139.0</v>
      </c>
    </row>
    <row r="10" ht="14.25" customHeight="1">
      <c r="A10" s="3" t="s">
        <v>157</v>
      </c>
      <c r="B10" s="3" t="s">
        <v>158</v>
      </c>
      <c r="C10" s="3">
        <v>9.43</v>
      </c>
      <c r="D10" s="3">
        <v>12.72</v>
      </c>
      <c r="E10" s="3">
        <v>101.0</v>
      </c>
      <c r="F10" s="3">
        <v>118.0</v>
      </c>
    </row>
    <row r="11" ht="14.25" customHeight="1">
      <c r="A11" s="3" t="s">
        <v>157</v>
      </c>
      <c r="B11" s="3" t="s">
        <v>159</v>
      </c>
      <c r="C11" s="3">
        <v>22.68</v>
      </c>
      <c r="D11" s="3">
        <v>15.37</v>
      </c>
      <c r="E11" s="3">
        <v>101.0</v>
      </c>
      <c r="F11" s="3">
        <v>118.0</v>
      </c>
    </row>
    <row r="12" ht="14.25" customHeight="1">
      <c r="A12" s="3" t="s">
        <v>157</v>
      </c>
      <c r="B12" s="3" t="s">
        <v>160</v>
      </c>
      <c r="C12" s="3">
        <v>35.04</v>
      </c>
      <c r="D12" s="3">
        <v>27.31</v>
      </c>
      <c r="E12" s="3">
        <v>101.0</v>
      </c>
      <c r="F12" s="3">
        <v>118.0</v>
      </c>
    </row>
    <row r="13" ht="14.25" customHeight="1">
      <c r="A13" s="3" t="s">
        <v>157</v>
      </c>
      <c r="B13" s="3" t="s">
        <v>161</v>
      </c>
      <c r="C13" s="3">
        <v>27.47</v>
      </c>
      <c r="D13" s="3">
        <v>11.32</v>
      </c>
      <c r="E13" s="3">
        <v>101.0</v>
      </c>
      <c r="F13" s="3">
        <v>118.0</v>
      </c>
    </row>
    <row r="14" ht="14.25" customHeight="1">
      <c r="A14" s="3" t="s">
        <v>157</v>
      </c>
      <c r="B14" s="3" t="s">
        <v>162</v>
      </c>
      <c r="C14" s="3">
        <v>5.39</v>
      </c>
      <c r="D14" s="3">
        <v>33.28</v>
      </c>
      <c r="E14" s="3">
        <v>101.0</v>
      </c>
      <c r="F14" s="3">
        <v>118.0</v>
      </c>
    </row>
    <row r="15" ht="14.25" customHeight="1">
      <c r="A15" s="3" t="s">
        <v>163</v>
      </c>
      <c r="B15" s="3" t="s">
        <v>154</v>
      </c>
      <c r="C15" s="3">
        <v>37.45</v>
      </c>
      <c r="D15" s="3">
        <v>47.08</v>
      </c>
      <c r="E15" s="3">
        <v>586.0</v>
      </c>
      <c r="F15" s="3">
        <v>366.0</v>
      </c>
    </row>
    <row r="16" ht="14.25" customHeight="1">
      <c r="A16" s="3" t="s">
        <v>163</v>
      </c>
      <c r="B16" s="3" t="s">
        <v>155</v>
      </c>
      <c r="C16" s="3">
        <v>62.55</v>
      </c>
      <c r="D16" s="3">
        <v>52.92</v>
      </c>
      <c r="E16" s="3">
        <v>586.0</v>
      </c>
      <c r="F16" s="3">
        <v>366.0</v>
      </c>
    </row>
    <row r="17" ht="14.25" customHeight="1">
      <c r="A17" s="3" t="s">
        <v>164</v>
      </c>
      <c r="B17" s="3" t="s">
        <v>165</v>
      </c>
      <c r="C17" s="3">
        <v>0.67</v>
      </c>
      <c r="D17" s="3"/>
      <c r="E17" s="3">
        <v>586.0</v>
      </c>
      <c r="F17" s="3">
        <v>366.0</v>
      </c>
    </row>
    <row r="18" ht="14.25" customHeight="1">
      <c r="A18" s="3" t="s">
        <v>164</v>
      </c>
      <c r="B18" s="3" t="s">
        <v>166</v>
      </c>
      <c r="C18" s="3">
        <v>0.39</v>
      </c>
      <c r="D18" s="3"/>
      <c r="E18" s="3">
        <v>586.0</v>
      </c>
      <c r="F18" s="3">
        <v>366.0</v>
      </c>
    </row>
    <row r="19" ht="14.25" customHeight="1">
      <c r="A19" s="3" t="s">
        <v>164</v>
      </c>
      <c r="B19" s="3" t="s">
        <v>167</v>
      </c>
      <c r="C19" s="3">
        <v>1.42</v>
      </c>
      <c r="D19" s="3">
        <v>2.01</v>
      </c>
      <c r="E19" s="3">
        <v>586.0</v>
      </c>
      <c r="F19" s="3">
        <v>366.0</v>
      </c>
    </row>
    <row r="20" ht="14.25" customHeight="1">
      <c r="A20" s="3" t="s">
        <v>164</v>
      </c>
      <c r="B20" s="3" t="s">
        <v>168</v>
      </c>
      <c r="C20" s="3">
        <v>24.09</v>
      </c>
      <c r="D20" s="3">
        <v>47.06</v>
      </c>
      <c r="E20" s="3">
        <v>586.0</v>
      </c>
      <c r="F20" s="3">
        <v>366.0</v>
      </c>
    </row>
    <row r="21" ht="14.25" customHeight="1">
      <c r="A21" s="3" t="s">
        <v>164</v>
      </c>
      <c r="B21" s="3" t="s">
        <v>169</v>
      </c>
      <c r="C21" s="3">
        <v>73.43</v>
      </c>
      <c r="D21" s="3">
        <v>50.93</v>
      </c>
      <c r="E21" s="3">
        <v>586.0</v>
      </c>
      <c r="F21" s="3">
        <v>366.0</v>
      </c>
    </row>
    <row r="22" ht="14.25" customHeight="1">
      <c r="A22" s="3" t="s">
        <v>170</v>
      </c>
      <c r="B22" s="3" t="s">
        <v>171</v>
      </c>
      <c r="C22" s="3">
        <v>72.69</v>
      </c>
      <c r="D22" s="3">
        <v>94.98</v>
      </c>
      <c r="E22" s="3">
        <v>586.0</v>
      </c>
      <c r="F22" s="3">
        <v>366.0</v>
      </c>
    </row>
    <row r="23" ht="14.25" customHeight="1">
      <c r="A23" s="3" t="s">
        <v>170</v>
      </c>
      <c r="B23" s="3" t="s">
        <v>172</v>
      </c>
      <c r="C23" s="3">
        <v>26.8</v>
      </c>
      <c r="D23" s="3">
        <v>0.31</v>
      </c>
      <c r="E23" s="3">
        <v>586.0</v>
      </c>
      <c r="F23" s="3">
        <v>366.0</v>
      </c>
    </row>
    <row r="24" ht="14.25" customHeight="1">
      <c r="A24" s="3" t="s">
        <v>170</v>
      </c>
      <c r="B24" s="3" t="s">
        <v>173</v>
      </c>
      <c r="C24" s="3">
        <v>60.66</v>
      </c>
      <c r="D24" s="3">
        <v>94.66</v>
      </c>
      <c r="E24" s="3">
        <v>586.0</v>
      </c>
      <c r="F24" s="3">
        <v>366.0</v>
      </c>
    </row>
    <row r="25" ht="14.25" customHeight="1">
      <c r="A25" s="3" t="s">
        <v>170</v>
      </c>
      <c r="B25" s="3" t="s">
        <v>174</v>
      </c>
      <c r="C25" s="3">
        <v>93.86</v>
      </c>
      <c r="D25" s="3">
        <v>76.54</v>
      </c>
      <c r="E25" s="3">
        <v>586.0</v>
      </c>
      <c r="F25" s="3">
        <v>366.0</v>
      </c>
    </row>
    <row r="26" ht="14.25" customHeight="1">
      <c r="A26" s="3" t="s">
        <v>170</v>
      </c>
      <c r="B26" s="3" t="s">
        <v>175</v>
      </c>
      <c r="C26" s="3">
        <v>92.31</v>
      </c>
      <c r="D26" s="3">
        <v>75.49</v>
      </c>
      <c r="E26" s="3">
        <v>586.0</v>
      </c>
      <c r="F26" s="3">
        <v>366.0</v>
      </c>
    </row>
    <row r="27" ht="14.25" customHeight="1">
      <c r="A27" s="3" t="s">
        <v>170</v>
      </c>
      <c r="B27" s="3" t="s">
        <v>176</v>
      </c>
      <c r="C27" s="3">
        <v>13.92</v>
      </c>
      <c r="D27" s="3">
        <v>4.98</v>
      </c>
      <c r="E27" s="3">
        <v>586.0</v>
      </c>
      <c r="F27" s="3">
        <v>366.0</v>
      </c>
    </row>
    <row r="28" ht="14.25" customHeight="1">
      <c r="A28" s="3" t="s">
        <v>170</v>
      </c>
      <c r="B28" s="3" t="s">
        <v>177</v>
      </c>
      <c r="C28" s="3">
        <v>6.68</v>
      </c>
      <c r="D28" s="3">
        <v>2.55</v>
      </c>
      <c r="E28" s="3">
        <v>586.0</v>
      </c>
      <c r="F28" s="3">
        <v>366.0</v>
      </c>
    </row>
    <row r="29" ht="14.25" customHeight="1">
      <c r="A29" s="3" t="s">
        <v>170</v>
      </c>
      <c r="B29" s="3" t="s">
        <v>178</v>
      </c>
      <c r="C29" s="3">
        <v>3.51</v>
      </c>
      <c r="D29" s="3">
        <v>7.08</v>
      </c>
      <c r="E29" s="3">
        <v>586.0</v>
      </c>
      <c r="F29" s="3">
        <v>366.0</v>
      </c>
    </row>
    <row r="30" ht="14.25" customHeight="1">
      <c r="A30" s="3" t="s">
        <v>170</v>
      </c>
      <c r="B30" s="3" t="s">
        <v>179</v>
      </c>
      <c r="C30" s="3">
        <v>0.19</v>
      </c>
      <c r="D30" s="3"/>
      <c r="E30" s="3">
        <v>586.0</v>
      </c>
      <c r="F30" s="3">
        <v>366.0</v>
      </c>
    </row>
    <row r="31" ht="14.25" customHeight="1">
      <c r="A31" s="3" t="s">
        <v>180</v>
      </c>
      <c r="B31" s="3" t="s">
        <v>165</v>
      </c>
      <c r="C31" s="3">
        <v>0.6</v>
      </c>
      <c r="D31" s="3">
        <v>0.35</v>
      </c>
      <c r="E31" s="3">
        <v>586.0</v>
      </c>
      <c r="F31" s="3">
        <v>366.0</v>
      </c>
    </row>
    <row r="32" ht="14.25" customHeight="1">
      <c r="A32" s="3" t="s">
        <v>180</v>
      </c>
      <c r="B32" s="3" t="s">
        <v>166</v>
      </c>
      <c r="C32" s="3">
        <v>0.77</v>
      </c>
      <c r="D32" s="3">
        <v>0.49</v>
      </c>
      <c r="E32" s="3">
        <v>586.0</v>
      </c>
      <c r="F32" s="3">
        <v>366.0</v>
      </c>
    </row>
    <row r="33" ht="14.25" customHeight="1">
      <c r="A33" s="3" t="s">
        <v>180</v>
      </c>
      <c r="B33" s="3" t="s">
        <v>167</v>
      </c>
      <c r="C33" s="3">
        <v>13.03</v>
      </c>
      <c r="D33" s="3">
        <v>9.99</v>
      </c>
      <c r="E33" s="3">
        <v>586.0</v>
      </c>
      <c r="F33" s="3">
        <v>366.0</v>
      </c>
    </row>
    <row r="34" ht="14.25" customHeight="1">
      <c r="A34" s="3" t="s">
        <v>180</v>
      </c>
      <c r="B34" s="3" t="s">
        <v>168</v>
      </c>
      <c r="C34" s="3">
        <v>46.93</v>
      </c>
      <c r="D34" s="3">
        <v>65.05</v>
      </c>
      <c r="E34" s="3">
        <v>586.0</v>
      </c>
      <c r="F34" s="3">
        <v>366.0</v>
      </c>
    </row>
    <row r="35" ht="14.25" customHeight="1">
      <c r="A35" s="3" t="s">
        <v>180</v>
      </c>
      <c r="B35" s="3" t="s">
        <v>169</v>
      </c>
      <c r="C35" s="3">
        <v>38.67</v>
      </c>
      <c r="D35" s="3">
        <v>24.12</v>
      </c>
      <c r="E35" s="3">
        <v>586.0</v>
      </c>
      <c r="F35" s="3">
        <v>366.0</v>
      </c>
    </row>
    <row r="36" ht="14.25" customHeight="1">
      <c r="A36" s="3" t="s">
        <v>181</v>
      </c>
      <c r="B36" s="3" t="s">
        <v>182</v>
      </c>
      <c r="C36" s="3">
        <v>72.91</v>
      </c>
      <c r="D36" s="3">
        <v>56.32</v>
      </c>
      <c r="E36" s="3">
        <v>586.0</v>
      </c>
      <c r="F36" s="3">
        <v>366.0</v>
      </c>
    </row>
    <row r="37" ht="14.25" customHeight="1">
      <c r="A37" s="3" t="s">
        <v>181</v>
      </c>
      <c r="B37" s="3" t="s">
        <v>183</v>
      </c>
      <c r="C37" s="3">
        <v>71.4</v>
      </c>
      <c r="D37" s="3">
        <v>54.41</v>
      </c>
      <c r="E37" s="3">
        <v>586.0</v>
      </c>
      <c r="F37" s="3">
        <v>366.0</v>
      </c>
    </row>
    <row r="38" ht="14.25" customHeight="1">
      <c r="A38" s="3" t="s">
        <v>181</v>
      </c>
      <c r="B38" s="3" t="s">
        <v>184</v>
      </c>
      <c r="C38" s="3">
        <v>28.42</v>
      </c>
      <c r="D38" s="3">
        <v>6.92</v>
      </c>
      <c r="E38" s="3">
        <v>586.0</v>
      </c>
      <c r="F38" s="3">
        <v>366.0</v>
      </c>
    </row>
    <row r="39" ht="14.25" customHeight="1">
      <c r="A39" s="3" t="s">
        <v>181</v>
      </c>
      <c r="B39" s="3" t="s">
        <v>185</v>
      </c>
      <c r="C39" s="3">
        <v>0.41</v>
      </c>
      <c r="D39" s="3">
        <v>0.62</v>
      </c>
      <c r="E39" s="3">
        <v>586.0</v>
      </c>
      <c r="F39" s="3">
        <v>366.0</v>
      </c>
    </row>
    <row r="40" ht="14.25" customHeight="1">
      <c r="A40" s="3" t="s">
        <v>181</v>
      </c>
      <c r="B40" s="3" t="s">
        <v>186</v>
      </c>
      <c r="C40" s="3">
        <v>7.5</v>
      </c>
      <c r="D40" s="3">
        <v>2.95</v>
      </c>
      <c r="E40" s="3">
        <v>586.0</v>
      </c>
      <c r="F40" s="3">
        <v>366.0</v>
      </c>
    </row>
    <row r="41" ht="14.25" customHeight="1">
      <c r="A41" s="3" t="s">
        <v>181</v>
      </c>
      <c r="B41" s="3" t="s">
        <v>187</v>
      </c>
      <c r="C41" s="3">
        <v>4.17</v>
      </c>
      <c r="D41" s="3">
        <v>1.03</v>
      </c>
      <c r="E41" s="3">
        <v>586.0</v>
      </c>
      <c r="F41" s="3">
        <v>366.0</v>
      </c>
    </row>
    <row r="42" ht="14.25" customHeight="1">
      <c r="A42" s="3" t="s">
        <v>181</v>
      </c>
      <c r="B42" s="3" t="s">
        <v>179</v>
      </c>
      <c r="C42" s="3">
        <v>31.5</v>
      </c>
      <c r="D42" s="3">
        <v>20.24</v>
      </c>
      <c r="E42" s="3">
        <v>586.0</v>
      </c>
      <c r="F42" s="3">
        <v>366.0</v>
      </c>
    </row>
    <row r="43" ht="14.25" customHeight="1">
      <c r="A43" s="3" t="s">
        <v>181</v>
      </c>
      <c r="B43" s="3" t="s">
        <v>188</v>
      </c>
      <c r="C43" s="3">
        <v>13.87</v>
      </c>
      <c r="D43" s="3">
        <v>11.36</v>
      </c>
      <c r="E43" s="3">
        <v>586.0</v>
      </c>
      <c r="F43" s="3">
        <v>366.0</v>
      </c>
    </row>
    <row r="44" ht="14.25" customHeight="1">
      <c r="A44" s="3" t="s">
        <v>181</v>
      </c>
      <c r="B44" s="3" t="s">
        <v>189</v>
      </c>
      <c r="C44" s="3">
        <v>4.69</v>
      </c>
      <c r="D44" s="3">
        <v>2.56</v>
      </c>
      <c r="E44" s="3">
        <v>586.0</v>
      </c>
      <c r="F44" s="3">
        <v>366.0</v>
      </c>
    </row>
    <row r="45" ht="14.25" customHeight="1">
      <c r="A45" s="3" t="s">
        <v>181</v>
      </c>
      <c r="B45" s="3" t="s">
        <v>190</v>
      </c>
      <c r="C45" s="3">
        <v>24.93</v>
      </c>
      <c r="D45" s="3">
        <v>9.59</v>
      </c>
      <c r="E45" s="3">
        <v>586.0</v>
      </c>
      <c r="F45" s="3">
        <v>366.0</v>
      </c>
    </row>
    <row r="46" ht="14.25" customHeight="1">
      <c r="A46" s="3" t="s">
        <v>181</v>
      </c>
      <c r="B46" s="3" t="s">
        <v>191</v>
      </c>
      <c r="C46" s="3">
        <v>88.13</v>
      </c>
      <c r="D46" s="3">
        <v>87.81</v>
      </c>
      <c r="E46" s="3">
        <v>586.0</v>
      </c>
      <c r="F46" s="3">
        <v>366.0</v>
      </c>
    </row>
    <row r="47" ht="14.25" customHeight="1">
      <c r="A47" s="3" t="s">
        <v>181</v>
      </c>
      <c r="B47" s="3" t="s">
        <v>192</v>
      </c>
      <c r="C47" s="3">
        <v>62.02</v>
      </c>
      <c r="D47" s="3">
        <v>72.33</v>
      </c>
      <c r="E47" s="3">
        <v>586.0</v>
      </c>
      <c r="F47" s="3">
        <v>366.0</v>
      </c>
    </row>
    <row r="48" ht="14.25" customHeight="1">
      <c r="A48" s="3" t="s">
        <v>181</v>
      </c>
      <c r="B48" s="3" t="s">
        <v>193</v>
      </c>
      <c r="C48" s="3">
        <v>73.9</v>
      </c>
      <c r="D48" s="3">
        <v>78.13</v>
      </c>
      <c r="E48" s="3">
        <v>586.0</v>
      </c>
      <c r="F48" s="3">
        <v>366.0</v>
      </c>
    </row>
    <row r="49" ht="14.25" customHeight="1">
      <c r="A49" s="3" t="s">
        <v>181</v>
      </c>
      <c r="B49" s="3" t="s">
        <v>194</v>
      </c>
      <c r="C49" s="3">
        <v>22.82</v>
      </c>
      <c r="D49" s="3">
        <v>5.07</v>
      </c>
      <c r="E49" s="3">
        <v>586.0</v>
      </c>
      <c r="F49" s="3">
        <v>366.0</v>
      </c>
    </row>
    <row r="50" ht="14.25" customHeight="1">
      <c r="A50" s="3" t="s">
        <v>181</v>
      </c>
      <c r="B50" s="3" t="s">
        <v>195</v>
      </c>
      <c r="C50" s="3">
        <v>12.25</v>
      </c>
      <c r="D50" s="3">
        <v>8.1</v>
      </c>
      <c r="E50" s="3">
        <v>586.0</v>
      </c>
      <c r="F50" s="3">
        <v>366.0</v>
      </c>
    </row>
    <row r="51" ht="14.25" customHeight="1">
      <c r="A51" s="3" t="s">
        <v>181</v>
      </c>
      <c r="B51" s="3" t="s">
        <v>196</v>
      </c>
      <c r="C51" s="3">
        <v>65.19</v>
      </c>
      <c r="D51" s="3">
        <v>65.84</v>
      </c>
      <c r="E51" s="3">
        <v>586.0</v>
      </c>
      <c r="F51" s="3">
        <v>366.0</v>
      </c>
    </row>
    <row r="52" ht="14.25" customHeight="1">
      <c r="A52" s="3" t="s">
        <v>181</v>
      </c>
      <c r="B52" s="3" t="s">
        <v>197</v>
      </c>
      <c r="C52" s="3">
        <v>45.0</v>
      </c>
      <c r="D52" s="3">
        <v>61.81</v>
      </c>
      <c r="E52" s="3">
        <v>586.0</v>
      </c>
      <c r="F52" s="3">
        <v>366.0</v>
      </c>
    </row>
    <row r="53" ht="14.25" customHeight="1">
      <c r="A53" s="3" t="s">
        <v>181</v>
      </c>
      <c r="B53" s="3" t="s">
        <v>198</v>
      </c>
      <c r="C53" s="3">
        <v>23.33</v>
      </c>
      <c r="D53" s="3">
        <v>13.74</v>
      </c>
      <c r="E53" s="3">
        <v>586.0</v>
      </c>
      <c r="F53" s="3">
        <v>366.0</v>
      </c>
    </row>
    <row r="54" ht="14.25" customHeight="1">
      <c r="A54" s="3" t="s">
        <v>181</v>
      </c>
      <c r="B54" s="3" t="s">
        <v>199</v>
      </c>
      <c r="C54" s="3">
        <v>37.36</v>
      </c>
      <c r="D54" s="3">
        <v>22.28</v>
      </c>
      <c r="E54" s="3">
        <v>586.0</v>
      </c>
      <c r="F54" s="3">
        <v>366.0</v>
      </c>
    </row>
    <row r="55" ht="14.25" customHeight="1">
      <c r="A55" s="3" t="s">
        <v>181</v>
      </c>
      <c r="B55" s="3" t="s">
        <v>200</v>
      </c>
      <c r="C55" s="3">
        <v>29.21</v>
      </c>
      <c r="D55" s="3">
        <v>21.44</v>
      </c>
      <c r="E55" s="3">
        <v>586.0</v>
      </c>
      <c r="F55" s="3">
        <v>366.0</v>
      </c>
    </row>
    <row r="56" ht="14.25" customHeight="1">
      <c r="A56" s="3" t="s">
        <v>181</v>
      </c>
      <c r="B56" s="3" t="s">
        <v>201</v>
      </c>
      <c r="C56" s="3">
        <v>14.71</v>
      </c>
      <c r="D56" s="3">
        <v>2.28</v>
      </c>
      <c r="E56" s="3">
        <v>586.0</v>
      </c>
      <c r="F56" s="3">
        <v>366.0</v>
      </c>
    </row>
    <row r="57" ht="14.25" customHeight="1">
      <c r="A57" s="3" t="s">
        <v>181</v>
      </c>
      <c r="B57" s="3" t="s">
        <v>202</v>
      </c>
      <c r="C57" s="3">
        <v>12.58</v>
      </c>
      <c r="D57" s="3">
        <v>3.38</v>
      </c>
      <c r="E57" s="3">
        <v>586.0</v>
      </c>
      <c r="F57" s="3">
        <v>366.0</v>
      </c>
    </row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43"/>
    <col customWidth="1" min="2" max="2" width="17.71"/>
    <col customWidth="1" min="3" max="3" width="13.57"/>
    <col customWidth="1" min="4" max="5" width="11.29"/>
    <col customWidth="1" min="6" max="6" width="11.14"/>
    <col customWidth="1" min="7" max="7" width="7.29"/>
    <col customWidth="1" min="8" max="8" width="16.14"/>
    <col customWidth="1" min="9" max="25" width="8.71"/>
  </cols>
  <sheetData>
    <row r="1" ht="14.25" customHeight="1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45</v>
      </c>
      <c r="K1" s="9" t="str">
        <f>IFERROR(__xludf.DUMMYFUNCTION("QUERY(A1:H956,""SELECT * WHERE A != 'TT Off Vietnam'"",1)"),"Market")</f>
        <v>Market</v>
      </c>
      <c r="L1" s="9" t="str">
        <f>IFERROR(__xludf.DUMMYFUNCTION("""COMPUTED_VALUE"""),"MANUFACTURER")</f>
        <v>MANUFACTURER</v>
      </c>
      <c r="M1" s="9" t="str">
        <f>IFERROR(__xludf.DUMMYFUNCTION("""COMPUTED_VALUE"""),"BRAND")</f>
        <v>BRAND</v>
      </c>
      <c r="N1" s="9" t="str">
        <f>IFERROR(__xludf.DUMMYFUNCTION("""COMPUTED_VALUE"""),"FLAVOUR")</f>
        <v>FLAVOUR</v>
      </c>
      <c r="O1" s="9" t="str">
        <f>IFERROR(__xludf.DUMMYFUNCTION("""COMPUTED_VALUE"""),"PACKAGE")</f>
        <v>PACKAGE</v>
      </c>
      <c r="P1" s="9" t="str">
        <f>IFERROR(__xludf.DUMMYFUNCTION("""COMPUTED_VALUE"""),"BASESIZE")</f>
        <v>BASESIZE</v>
      </c>
      <c r="Q1" s="9" t="str">
        <f>IFERROR(__xludf.DUMMYFUNCTION("""COMPUTED_VALUE"""),"Time")</f>
        <v>Time</v>
      </c>
      <c r="R1" s="9" t="str">
        <f>IFERROR(__xludf.DUMMYFUNCTION("""COMPUTED_VALUE"""),"MarketShare %")</f>
        <v>MarketShare %</v>
      </c>
    </row>
    <row r="2" ht="14.25" customHeight="1">
      <c r="A2" s="3" t="s">
        <v>10</v>
      </c>
      <c r="B2" s="3" t="s">
        <v>11</v>
      </c>
      <c r="C2" s="3" t="s">
        <v>27</v>
      </c>
      <c r="D2" s="3" t="s">
        <v>30</v>
      </c>
      <c r="E2" s="3" t="s">
        <v>14</v>
      </c>
      <c r="F2" s="3">
        <v>1000.0</v>
      </c>
      <c r="G2" s="4" t="s">
        <v>15</v>
      </c>
      <c r="H2" s="3">
        <v>4.383926444633142</v>
      </c>
      <c r="K2" s="9" t="str">
        <f>IFERROR(__xludf.DUMMYFUNCTION("""COMPUTED_VALUE"""),"MT Urban")</f>
        <v>MT Urban</v>
      </c>
      <c r="L2" s="9" t="str">
        <f>IFERROR(__xludf.DUMMYFUNCTION("""COMPUTED_VALUE"""),"Elite")</f>
        <v>Elite</v>
      </c>
      <c r="M2" s="9" t="str">
        <f>IFERROR(__xludf.DUMMYFUNCTION("""COMPUTED_VALUE"""),"Unami Organic")</f>
        <v>Unami Organic</v>
      </c>
      <c r="N2" s="9" t="str">
        <f>IFERROR(__xludf.DUMMYFUNCTION("""COMPUTED_VALUE"""),"Plain")</f>
        <v>Plain</v>
      </c>
      <c r="O2" s="9" t="str">
        <f>IFERROR(__xludf.DUMMYFUNCTION("""COMPUTED_VALUE"""),"Carton")</f>
        <v>Carton</v>
      </c>
      <c r="P2" s="9">
        <f>IFERROR(__xludf.DUMMYFUNCTION("""COMPUTED_VALUE"""),1000.0)</f>
        <v>1000</v>
      </c>
      <c r="Q2" s="9" t="str">
        <f>IFERROR(__xludf.DUMMYFUNCTION("""COMPUTED_VALUE"""),"Q1'22")</f>
        <v>Q1'22</v>
      </c>
      <c r="R2" s="9">
        <f>IFERROR(__xludf.DUMMYFUNCTION("""COMPUTED_VALUE"""),4.383926444633142)</f>
        <v>4.383926445</v>
      </c>
    </row>
    <row r="3" ht="14.25" customHeight="1">
      <c r="A3" s="3" t="s">
        <v>10</v>
      </c>
      <c r="B3" s="3" t="s">
        <v>11</v>
      </c>
      <c r="C3" s="3" t="s">
        <v>27</v>
      </c>
      <c r="D3" s="3" t="s">
        <v>30</v>
      </c>
      <c r="E3" s="3" t="s">
        <v>14</v>
      </c>
      <c r="F3" s="3">
        <v>1000.0</v>
      </c>
      <c r="G3" s="4" t="s">
        <v>16</v>
      </c>
      <c r="H3" s="3">
        <v>4.345230849900594</v>
      </c>
      <c r="K3" s="9" t="str">
        <f>IFERROR(__xludf.DUMMYFUNCTION("""COMPUTED_VALUE"""),"MT Urban")</f>
        <v>MT Urban</v>
      </c>
      <c r="L3" s="9" t="str">
        <f>IFERROR(__xludf.DUMMYFUNCTION("""COMPUTED_VALUE"""),"Elite")</f>
        <v>Elite</v>
      </c>
      <c r="M3" s="9" t="str">
        <f>IFERROR(__xludf.DUMMYFUNCTION("""COMPUTED_VALUE"""),"Unami Organic")</f>
        <v>Unami Organic</v>
      </c>
      <c r="N3" s="9" t="str">
        <f>IFERROR(__xludf.DUMMYFUNCTION("""COMPUTED_VALUE"""),"Plain")</f>
        <v>Plain</v>
      </c>
      <c r="O3" s="9" t="str">
        <f>IFERROR(__xludf.DUMMYFUNCTION("""COMPUTED_VALUE"""),"Carton")</f>
        <v>Carton</v>
      </c>
      <c r="P3" s="9">
        <f>IFERROR(__xludf.DUMMYFUNCTION("""COMPUTED_VALUE"""),1000.0)</f>
        <v>1000</v>
      </c>
      <c r="Q3" s="9" t="str">
        <f>IFERROR(__xludf.DUMMYFUNCTION("""COMPUTED_VALUE"""),"Q2'22")</f>
        <v>Q2'22</v>
      </c>
      <c r="R3" s="9">
        <f>IFERROR(__xludf.DUMMYFUNCTION("""COMPUTED_VALUE"""),4.345230849900594)</f>
        <v>4.34523085</v>
      </c>
    </row>
    <row r="4" ht="14.25" customHeight="1">
      <c r="A4" s="3" t="s">
        <v>10</v>
      </c>
      <c r="B4" s="3" t="s">
        <v>11</v>
      </c>
      <c r="C4" s="3" t="s">
        <v>27</v>
      </c>
      <c r="D4" s="3" t="s">
        <v>30</v>
      </c>
      <c r="E4" s="3" t="s">
        <v>14</v>
      </c>
      <c r="F4" s="3">
        <v>1000.0</v>
      </c>
      <c r="G4" s="4" t="s">
        <v>17</v>
      </c>
      <c r="H4" s="3">
        <v>4.1825149757028335</v>
      </c>
      <c r="K4" s="9" t="str">
        <f>IFERROR(__xludf.DUMMYFUNCTION("""COMPUTED_VALUE"""),"MT Urban")</f>
        <v>MT Urban</v>
      </c>
      <c r="L4" s="9" t="str">
        <f>IFERROR(__xludf.DUMMYFUNCTION("""COMPUTED_VALUE"""),"Elite")</f>
        <v>Elite</v>
      </c>
      <c r="M4" s="9" t="str">
        <f>IFERROR(__xludf.DUMMYFUNCTION("""COMPUTED_VALUE"""),"Unami Organic")</f>
        <v>Unami Organic</v>
      </c>
      <c r="N4" s="9" t="str">
        <f>IFERROR(__xludf.DUMMYFUNCTION("""COMPUTED_VALUE"""),"Plain")</f>
        <v>Plain</v>
      </c>
      <c r="O4" s="9" t="str">
        <f>IFERROR(__xludf.DUMMYFUNCTION("""COMPUTED_VALUE"""),"Carton")</f>
        <v>Carton</v>
      </c>
      <c r="P4" s="9">
        <f>IFERROR(__xludf.DUMMYFUNCTION("""COMPUTED_VALUE"""),1000.0)</f>
        <v>1000</v>
      </c>
      <c r="Q4" s="9" t="str">
        <f>IFERROR(__xludf.DUMMYFUNCTION("""COMPUTED_VALUE"""),"Q3'22")</f>
        <v>Q3'22</v>
      </c>
      <c r="R4" s="9">
        <f>IFERROR(__xludf.DUMMYFUNCTION("""COMPUTED_VALUE"""),4.1825149757028335)</f>
        <v>4.182514976</v>
      </c>
    </row>
    <row r="5" ht="14.25" customHeight="1">
      <c r="A5" s="3" t="s">
        <v>10</v>
      </c>
      <c r="B5" s="3" t="s">
        <v>11</v>
      </c>
      <c r="C5" s="3" t="s">
        <v>27</v>
      </c>
      <c r="D5" s="3" t="s">
        <v>30</v>
      </c>
      <c r="E5" s="3" t="s">
        <v>14</v>
      </c>
      <c r="F5" s="3">
        <v>1000.0</v>
      </c>
      <c r="G5" s="4" t="s">
        <v>18</v>
      </c>
      <c r="H5" s="3">
        <v>3.8625229838335273</v>
      </c>
      <c r="K5" s="9" t="str">
        <f>IFERROR(__xludf.DUMMYFUNCTION("""COMPUTED_VALUE"""),"MT Urban")</f>
        <v>MT Urban</v>
      </c>
      <c r="L5" s="9" t="str">
        <f>IFERROR(__xludf.DUMMYFUNCTION("""COMPUTED_VALUE"""),"Elite")</f>
        <v>Elite</v>
      </c>
      <c r="M5" s="9" t="str">
        <f>IFERROR(__xludf.DUMMYFUNCTION("""COMPUTED_VALUE"""),"Unami Organic")</f>
        <v>Unami Organic</v>
      </c>
      <c r="N5" s="9" t="str">
        <f>IFERROR(__xludf.DUMMYFUNCTION("""COMPUTED_VALUE"""),"Plain")</f>
        <v>Plain</v>
      </c>
      <c r="O5" s="9" t="str">
        <f>IFERROR(__xludf.DUMMYFUNCTION("""COMPUTED_VALUE"""),"Carton")</f>
        <v>Carton</v>
      </c>
      <c r="P5" s="9">
        <f>IFERROR(__xludf.DUMMYFUNCTION("""COMPUTED_VALUE"""),1000.0)</f>
        <v>1000</v>
      </c>
      <c r="Q5" s="9" t="str">
        <f>IFERROR(__xludf.DUMMYFUNCTION("""COMPUTED_VALUE"""),"Q4'22")</f>
        <v>Q4'22</v>
      </c>
      <c r="R5" s="9">
        <f>IFERROR(__xludf.DUMMYFUNCTION("""COMPUTED_VALUE"""),3.8625229838335273)</f>
        <v>3.862522984</v>
      </c>
    </row>
    <row r="6" ht="14.25" customHeight="1">
      <c r="A6" s="3" t="s">
        <v>10</v>
      </c>
      <c r="B6" s="3" t="s">
        <v>11</v>
      </c>
      <c r="C6" s="3" t="s">
        <v>27</v>
      </c>
      <c r="D6" s="3" t="s">
        <v>30</v>
      </c>
      <c r="E6" s="3" t="s">
        <v>14</v>
      </c>
      <c r="F6" s="3">
        <v>1000.0</v>
      </c>
      <c r="G6" s="4" t="s">
        <v>19</v>
      </c>
      <c r="H6" s="3">
        <v>3.971752875098104</v>
      </c>
      <c r="K6" s="9" t="str">
        <f>IFERROR(__xludf.DUMMYFUNCTION("""COMPUTED_VALUE"""),"MT Urban")</f>
        <v>MT Urban</v>
      </c>
      <c r="L6" s="9" t="str">
        <f>IFERROR(__xludf.DUMMYFUNCTION("""COMPUTED_VALUE"""),"Elite")</f>
        <v>Elite</v>
      </c>
      <c r="M6" s="9" t="str">
        <f>IFERROR(__xludf.DUMMYFUNCTION("""COMPUTED_VALUE"""),"Unami Organic")</f>
        <v>Unami Organic</v>
      </c>
      <c r="N6" s="9" t="str">
        <f>IFERROR(__xludf.DUMMYFUNCTION("""COMPUTED_VALUE"""),"Plain")</f>
        <v>Plain</v>
      </c>
      <c r="O6" s="9" t="str">
        <f>IFERROR(__xludf.DUMMYFUNCTION("""COMPUTED_VALUE"""),"Carton")</f>
        <v>Carton</v>
      </c>
      <c r="P6" s="9">
        <f>IFERROR(__xludf.DUMMYFUNCTION("""COMPUTED_VALUE"""),1000.0)</f>
        <v>1000</v>
      </c>
      <c r="Q6" s="9" t="str">
        <f>IFERROR(__xludf.DUMMYFUNCTION("""COMPUTED_VALUE"""),"Q1'23")</f>
        <v>Q1'23</v>
      </c>
      <c r="R6" s="9">
        <f>IFERROR(__xludf.DUMMYFUNCTION("""COMPUTED_VALUE"""),3.971752875098104)</f>
        <v>3.971752875</v>
      </c>
    </row>
    <row r="7" ht="14.25" customHeight="1">
      <c r="A7" s="3" t="s">
        <v>10</v>
      </c>
      <c r="B7" s="3" t="s">
        <v>11</v>
      </c>
      <c r="C7" s="3" t="s">
        <v>27</v>
      </c>
      <c r="D7" s="3" t="s">
        <v>30</v>
      </c>
      <c r="E7" s="3" t="s">
        <v>14</v>
      </c>
      <c r="F7" s="3">
        <v>1000.0</v>
      </c>
      <c r="G7" s="4" t="s">
        <v>20</v>
      </c>
      <c r="H7" s="3">
        <v>3.869422396667993</v>
      </c>
      <c r="K7" s="9" t="str">
        <f>IFERROR(__xludf.DUMMYFUNCTION("""COMPUTED_VALUE"""),"MT Urban")</f>
        <v>MT Urban</v>
      </c>
      <c r="L7" s="9" t="str">
        <f>IFERROR(__xludf.DUMMYFUNCTION("""COMPUTED_VALUE"""),"Elite")</f>
        <v>Elite</v>
      </c>
      <c r="M7" s="9" t="str">
        <f>IFERROR(__xludf.DUMMYFUNCTION("""COMPUTED_VALUE"""),"Unami Organic")</f>
        <v>Unami Organic</v>
      </c>
      <c r="N7" s="9" t="str">
        <f>IFERROR(__xludf.DUMMYFUNCTION("""COMPUTED_VALUE"""),"Plain")</f>
        <v>Plain</v>
      </c>
      <c r="O7" s="9" t="str">
        <f>IFERROR(__xludf.DUMMYFUNCTION("""COMPUTED_VALUE"""),"Carton")</f>
        <v>Carton</v>
      </c>
      <c r="P7" s="9">
        <f>IFERROR(__xludf.DUMMYFUNCTION("""COMPUTED_VALUE"""),1000.0)</f>
        <v>1000</v>
      </c>
      <c r="Q7" s="9" t="str">
        <f>IFERROR(__xludf.DUMMYFUNCTION("""COMPUTED_VALUE"""),"Q2'23")</f>
        <v>Q2'23</v>
      </c>
      <c r="R7" s="9">
        <f>IFERROR(__xludf.DUMMYFUNCTION("""COMPUTED_VALUE"""),3.869422396667993)</f>
        <v>3.869422397</v>
      </c>
    </row>
    <row r="8" ht="14.25" customHeight="1">
      <c r="A8" s="3" t="s">
        <v>10</v>
      </c>
      <c r="B8" s="3" t="s">
        <v>11</v>
      </c>
      <c r="C8" s="3" t="s">
        <v>27</v>
      </c>
      <c r="D8" s="3" t="s">
        <v>30</v>
      </c>
      <c r="E8" s="3" t="s">
        <v>14</v>
      </c>
      <c r="F8" s="3">
        <v>1000.0</v>
      </c>
      <c r="G8" s="4" t="s">
        <v>21</v>
      </c>
      <c r="H8" s="3">
        <v>3.75170450568423</v>
      </c>
      <c r="K8" s="9" t="str">
        <f>IFERROR(__xludf.DUMMYFUNCTION("""COMPUTED_VALUE"""),"MT Urban")</f>
        <v>MT Urban</v>
      </c>
      <c r="L8" s="9" t="str">
        <f>IFERROR(__xludf.DUMMYFUNCTION("""COMPUTED_VALUE"""),"Elite")</f>
        <v>Elite</v>
      </c>
      <c r="M8" s="9" t="str">
        <f>IFERROR(__xludf.DUMMYFUNCTION("""COMPUTED_VALUE"""),"Unami Organic")</f>
        <v>Unami Organic</v>
      </c>
      <c r="N8" s="9" t="str">
        <f>IFERROR(__xludf.DUMMYFUNCTION("""COMPUTED_VALUE"""),"Plain")</f>
        <v>Plain</v>
      </c>
      <c r="O8" s="9" t="str">
        <f>IFERROR(__xludf.DUMMYFUNCTION("""COMPUTED_VALUE"""),"Carton")</f>
        <v>Carton</v>
      </c>
      <c r="P8" s="9">
        <f>IFERROR(__xludf.DUMMYFUNCTION("""COMPUTED_VALUE"""),1000.0)</f>
        <v>1000</v>
      </c>
      <c r="Q8" s="9" t="str">
        <f>IFERROR(__xludf.DUMMYFUNCTION("""COMPUTED_VALUE"""),"Q3'23")</f>
        <v>Q3'23</v>
      </c>
      <c r="R8" s="9">
        <f>IFERROR(__xludf.DUMMYFUNCTION("""COMPUTED_VALUE"""),3.75170450568423)</f>
        <v>3.751704506</v>
      </c>
    </row>
    <row r="9" ht="14.25" customHeight="1">
      <c r="A9" s="3" t="s">
        <v>10</v>
      </c>
      <c r="B9" s="3" t="s">
        <v>11</v>
      </c>
      <c r="C9" s="3" t="s">
        <v>27</v>
      </c>
      <c r="D9" s="3" t="s">
        <v>30</v>
      </c>
      <c r="E9" s="3" t="s">
        <v>14</v>
      </c>
      <c r="F9" s="3">
        <v>1000.0</v>
      </c>
      <c r="G9" s="4" t="s">
        <v>22</v>
      </c>
      <c r="H9" s="3">
        <v>3.3667454749746035</v>
      </c>
      <c r="K9" s="9" t="str">
        <f>IFERROR(__xludf.DUMMYFUNCTION("""COMPUTED_VALUE"""),"MT Urban")</f>
        <v>MT Urban</v>
      </c>
      <c r="L9" s="9" t="str">
        <f>IFERROR(__xludf.DUMMYFUNCTION("""COMPUTED_VALUE"""),"Elite")</f>
        <v>Elite</v>
      </c>
      <c r="M9" s="9" t="str">
        <f>IFERROR(__xludf.DUMMYFUNCTION("""COMPUTED_VALUE"""),"Unami Organic")</f>
        <v>Unami Organic</v>
      </c>
      <c r="N9" s="9" t="str">
        <f>IFERROR(__xludf.DUMMYFUNCTION("""COMPUTED_VALUE"""),"Plain")</f>
        <v>Plain</v>
      </c>
      <c r="O9" s="9" t="str">
        <f>IFERROR(__xludf.DUMMYFUNCTION("""COMPUTED_VALUE"""),"Carton")</f>
        <v>Carton</v>
      </c>
      <c r="P9" s="9">
        <f>IFERROR(__xludf.DUMMYFUNCTION("""COMPUTED_VALUE"""),1000.0)</f>
        <v>1000</v>
      </c>
      <c r="Q9" s="9" t="str">
        <f>IFERROR(__xludf.DUMMYFUNCTION("""COMPUTED_VALUE"""),"Q4'23")</f>
        <v>Q4'23</v>
      </c>
      <c r="R9" s="9">
        <f>IFERROR(__xludf.DUMMYFUNCTION("""COMPUTED_VALUE"""),3.3667454749746035)</f>
        <v>3.366745475</v>
      </c>
    </row>
    <row r="10" ht="14.25" customHeight="1">
      <c r="A10" s="3" t="s">
        <v>10</v>
      </c>
      <c r="B10" s="3" t="s">
        <v>11</v>
      </c>
      <c r="C10" s="3" t="s">
        <v>27</v>
      </c>
      <c r="D10" s="3" t="s">
        <v>13</v>
      </c>
      <c r="E10" s="3" t="s">
        <v>14</v>
      </c>
      <c r="F10" s="3">
        <v>1000.0</v>
      </c>
      <c r="G10" s="4" t="s">
        <v>15</v>
      </c>
      <c r="H10" s="3">
        <v>3.5323089935099667</v>
      </c>
      <c r="K10" s="9" t="str">
        <f>IFERROR(__xludf.DUMMYFUNCTION("""COMPUTED_VALUE"""),"MT Urban")</f>
        <v>MT Urban</v>
      </c>
      <c r="L10" s="9" t="str">
        <f>IFERROR(__xludf.DUMMYFUNCTION("""COMPUTED_VALUE"""),"Elite")</f>
        <v>Elite</v>
      </c>
      <c r="M10" s="9" t="str">
        <f>IFERROR(__xludf.DUMMYFUNCTION("""COMPUTED_VALUE"""),"Unami Organic")</f>
        <v>Unami Organic</v>
      </c>
      <c r="N10" s="9" t="str">
        <f>IFERROR(__xludf.DUMMYFUNCTION("""COMPUTED_VALUE"""),"Sweetened")</f>
        <v>Sweetened</v>
      </c>
      <c r="O10" s="9" t="str">
        <f>IFERROR(__xludf.DUMMYFUNCTION("""COMPUTED_VALUE"""),"Carton")</f>
        <v>Carton</v>
      </c>
      <c r="P10" s="9">
        <f>IFERROR(__xludf.DUMMYFUNCTION("""COMPUTED_VALUE"""),1000.0)</f>
        <v>1000</v>
      </c>
      <c r="Q10" s="9" t="str">
        <f>IFERROR(__xludf.DUMMYFUNCTION("""COMPUTED_VALUE"""),"Q1'22")</f>
        <v>Q1'22</v>
      </c>
      <c r="R10" s="9">
        <f>IFERROR(__xludf.DUMMYFUNCTION("""COMPUTED_VALUE"""),3.5323089935099667)</f>
        <v>3.532308994</v>
      </c>
    </row>
    <row r="11" ht="14.25" customHeight="1">
      <c r="A11" s="3" t="s">
        <v>10</v>
      </c>
      <c r="B11" s="3" t="s">
        <v>11</v>
      </c>
      <c r="C11" s="3" t="s">
        <v>27</v>
      </c>
      <c r="D11" s="3" t="s">
        <v>13</v>
      </c>
      <c r="E11" s="3" t="s">
        <v>14</v>
      </c>
      <c r="F11" s="3">
        <v>1000.0</v>
      </c>
      <c r="G11" s="4" t="s">
        <v>16</v>
      </c>
      <c r="H11" s="3">
        <v>4.193075026986208</v>
      </c>
      <c r="K11" s="9" t="str">
        <f>IFERROR(__xludf.DUMMYFUNCTION("""COMPUTED_VALUE"""),"MT Urban")</f>
        <v>MT Urban</v>
      </c>
      <c r="L11" s="9" t="str">
        <f>IFERROR(__xludf.DUMMYFUNCTION("""COMPUTED_VALUE"""),"Elite")</f>
        <v>Elite</v>
      </c>
      <c r="M11" s="9" t="str">
        <f>IFERROR(__xludf.DUMMYFUNCTION("""COMPUTED_VALUE"""),"Unami Organic")</f>
        <v>Unami Organic</v>
      </c>
      <c r="N11" s="9" t="str">
        <f>IFERROR(__xludf.DUMMYFUNCTION("""COMPUTED_VALUE"""),"Sweetened")</f>
        <v>Sweetened</v>
      </c>
      <c r="O11" s="9" t="str">
        <f>IFERROR(__xludf.DUMMYFUNCTION("""COMPUTED_VALUE"""),"Carton")</f>
        <v>Carton</v>
      </c>
      <c r="P11" s="9">
        <f>IFERROR(__xludf.DUMMYFUNCTION("""COMPUTED_VALUE"""),1000.0)</f>
        <v>1000</v>
      </c>
      <c r="Q11" s="9" t="str">
        <f>IFERROR(__xludf.DUMMYFUNCTION("""COMPUTED_VALUE"""),"Q2'22")</f>
        <v>Q2'22</v>
      </c>
      <c r="R11" s="9">
        <f>IFERROR(__xludf.DUMMYFUNCTION("""COMPUTED_VALUE"""),4.193075026986208)</f>
        <v>4.193075027</v>
      </c>
    </row>
    <row r="12" ht="14.25" customHeight="1">
      <c r="A12" s="3" t="s">
        <v>10</v>
      </c>
      <c r="B12" s="3" t="s">
        <v>11</v>
      </c>
      <c r="C12" s="3" t="s">
        <v>27</v>
      </c>
      <c r="D12" s="3" t="s">
        <v>13</v>
      </c>
      <c r="E12" s="3" t="s">
        <v>14</v>
      </c>
      <c r="F12" s="3">
        <v>1000.0</v>
      </c>
      <c r="G12" s="4" t="s">
        <v>17</v>
      </c>
      <c r="H12" s="3">
        <v>3.9810240638238126</v>
      </c>
      <c r="K12" s="9" t="str">
        <f>IFERROR(__xludf.DUMMYFUNCTION("""COMPUTED_VALUE"""),"MT Urban")</f>
        <v>MT Urban</v>
      </c>
      <c r="L12" s="9" t="str">
        <f>IFERROR(__xludf.DUMMYFUNCTION("""COMPUTED_VALUE"""),"Elite")</f>
        <v>Elite</v>
      </c>
      <c r="M12" s="9" t="str">
        <f>IFERROR(__xludf.DUMMYFUNCTION("""COMPUTED_VALUE"""),"Unami Organic")</f>
        <v>Unami Organic</v>
      </c>
      <c r="N12" s="9" t="str">
        <f>IFERROR(__xludf.DUMMYFUNCTION("""COMPUTED_VALUE"""),"Sweetened")</f>
        <v>Sweetened</v>
      </c>
      <c r="O12" s="9" t="str">
        <f>IFERROR(__xludf.DUMMYFUNCTION("""COMPUTED_VALUE"""),"Carton")</f>
        <v>Carton</v>
      </c>
      <c r="P12" s="9">
        <f>IFERROR(__xludf.DUMMYFUNCTION("""COMPUTED_VALUE"""),1000.0)</f>
        <v>1000</v>
      </c>
      <c r="Q12" s="9" t="str">
        <f>IFERROR(__xludf.DUMMYFUNCTION("""COMPUTED_VALUE"""),"Q3'22")</f>
        <v>Q3'22</v>
      </c>
      <c r="R12" s="9">
        <f>IFERROR(__xludf.DUMMYFUNCTION("""COMPUTED_VALUE"""),3.9810240638238126)</f>
        <v>3.981024064</v>
      </c>
    </row>
    <row r="13" ht="14.25" customHeight="1">
      <c r="A13" s="3" t="s">
        <v>10</v>
      </c>
      <c r="B13" s="3" t="s">
        <v>11</v>
      </c>
      <c r="C13" s="3" t="s">
        <v>27</v>
      </c>
      <c r="D13" s="3" t="s">
        <v>13</v>
      </c>
      <c r="E13" s="3" t="s">
        <v>14</v>
      </c>
      <c r="F13" s="3">
        <v>1000.0</v>
      </c>
      <c r="G13" s="4" t="s">
        <v>18</v>
      </c>
      <c r="H13" s="3">
        <v>2.8995550793307165</v>
      </c>
      <c r="K13" s="9" t="str">
        <f>IFERROR(__xludf.DUMMYFUNCTION("""COMPUTED_VALUE"""),"MT Urban")</f>
        <v>MT Urban</v>
      </c>
      <c r="L13" s="9" t="str">
        <f>IFERROR(__xludf.DUMMYFUNCTION("""COMPUTED_VALUE"""),"Elite")</f>
        <v>Elite</v>
      </c>
      <c r="M13" s="9" t="str">
        <f>IFERROR(__xludf.DUMMYFUNCTION("""COMPUTED_VALUE"""),"Unami Organic")</f>
        <v>Unami Organic</v>
      </c>
      <c r="N13" s="9" t="str">
        <f>IFERROR(__xludf.DUMMYFUNCTION("""COMPUTED_VALUE"""),"Sweetened")</f>
        <v>Sweetened</v>
      </c>
      <c r="O13" s="9" t="str">
        <f>IFERROR(__xludf.DUMMYFUNCTION("""COMPUTED_VALUE"""),"Carton")</f>
        <v>Carton</v>
      </c>
      <c r="P13" s="9">
        <f>IFERROR(__xludf.DUMMYFUNCTION("""COMPUTED_VALUE"""),1000.0)</f>
        <v>1000</v>
      </c>
      <c r="Q13" s="9" t="str">
        <f>IFERROR(__xludf.DUMMYFUNCTION("""COMPUTED_VALUE"""),"Q4'22")</f>
        <v>Q4'22</v>
      </c>
      <c r="R13" s="9">
        <f>IFERROR(__xludf.DUMMYFUNCTION("""COMPUTED_VALUE"""),2.8995550793307165)</f>
        <v>2.899555079</v>
      </c>
    </row>
    <row r="14" ht="14.25" customHeight="1">
      <c r="A14" s="3" t="s">
        <v>10</v>
      </c>
      <c r="B14" s="3" t="s">
        <v>11</v>
      </c>
      <c r="C14" s="3" t="s">
        <v>27</v>
      </c>
      <c r="D14" s="3" t="s">
        <v>13</v>
      </c>
      <c r="E14" s="3" t="s">
        <v>14</v>
      </c>
      <c r="F14" s="3">
        <v>1000.0</v>
      </c>
      <c r="G14" s="4" t="s">
        <v>19</v>
      </c>
      <c r="H14" s="3">
        <v>2.567671414983211</v>
      </c>
      <c r="K14" s="9" t="str">
        <f>IFERROR(__xludf.DUMMYFUNCTION("""COMPUTED_VALUE"""),"MT Urban")</f>
        <v>MT Urban</v>
      </c>
      <c r="L14" s="9" t="str">
        <f>IFERROR(__xludf.DUMMYFUNCTION("""COMPUTED_VALUE"""),"Elite")</f>
        <v>Elite</v>
      </c>
      <c r="M14" s="9" t="str">
        <f>IFERROR(__xludf.DUMMYFUNCTION("""COMPUTED_VALUE"""),"Unami Organic")</f>
        <v>Unami Organic</v>
      </c>
      <c r="N14" s="9" t="str">
        <f>IFERROR(__xludf.DUMMYFUNCTION("""COMPUTED_VALUE"""),"Sweetened")</f>
        <v>Sweetened</v>
      </c>
      <c r="O14" s="9" t="str">
        <f>IFERROR(__xludf.DUMMYFUNCTION("""COMPUTED_VALUE"""),"Carton")</f>
        <v>Carton</v>
      </c>
      <c r="P14" s="9">
        <f>IFERROR(__xludf.DUMMYFUNCTION("""COMPUTED_VALUE"""),1000.0)</f>
        <v>1000</v>
      </c>
      <c r="Q14" s="9" t="str">
        <f>IFERROR(__xludf.DUMMYFUNCTION("""COMPUTED_VALUE"""),"Q1'23")</f>
        <v>Q1'23</v>
      </c>
      <c r="R14" s="9">
        <f>IFERROR(__xludf.DUMMYFUNCTION("""COMPUTED_VALUE"""),2.567671414983211)</f>
        <v>2.567671415</v>
      </c>
    </row>
    <row r="15" ht="14.25" customHeight="1">
      <c r="A15" s="3" t="s">
        <v>10</v>
      </c>
      <c r="B15" s="3" t="s">
        <v>11</v>
      </c>
      <c r="C15" s="3" t="s">
        <v>27</v>
      </c>
      <c r="D15" s="3" t="s">
        <v>13</v>
      </c>
      <c r="E15" s="3" t="s">
        <v>14</v>
      </c>
      <c r="F15" s="3">
        <v>1000.0</v>
      </c>
      <c r="G15" s="4" t="s">
        <v>20</v>
      </c>
      <c r="H15" s="3">
        <v>2.8341358437269335</v>
      </c>
      <c r="K15" s="9" t="str">
        <f>IFERROR(__xludf.DUMMYFUNCTION("""COMPUTED_VALUE"""),"MT Urban")</f>
        <v>MT Urban</v>
      </c>
      <c r="L15" s="9" t="str">
        <f>IFERROR(__xludf.DUMMYFUNCTION("""COMPUTED_VALUE"""),"Elite")</f>
        <v>Elite</v>
      </c>
      <c r="M15" s="9" t="str">
        <f>IFERROR(__xludf.DUMMYFUNCTION("""COMPUTED_VALUE"""),"Unami Organic")</f>
        <v>Unami Organic</v>
      </c>
      <c r="N15" s="9" t="str">
        <f>IFERROR(__xludf.DUMMYFUNCTION("""COMPUTED_VALUE"""),"Sweetened")</f>
        <v>Sweetened</v>
      </c>
      <c r="O15" s="9" t="str">
        <f>IFERROR(__xludf.DUMMYFUNCTION("""COMPUTED_VALUE"""),"Carton")</f>
        <v>Carton</v>
      </c>
      <c r="P15" s="9">
        <f>IFERROR(__xludf.DUMMYFUNCTION("""COMPUTED_VALUE"""),1000.0)</f>
        <v>1000</v>
      </c>
      <c r="Q15" s="9" t="str">
        <f>IFERROR(__xludf.DUMMYFUNCTION("""COMPUTED_VALUE"""),"Q2'23")</f>
        <v>Q2'23</v>
      </c>
      <c r="R15" s="9">
        <f>IFERROR(__xludf.DUMMYFUNCTION("""COMPUTED_VALUE"""),2.8341358437269335)</f>
        <v>2.834135844</v>
      </c>
    </row>
    <row r="16" ht="14.25" customHeight="1">
      <c r="A16" s="3" t="s">
        <v>10</v>
      </c>
      <c r="B16" s="3" t="s">
        <v>11</v>
      </c>
      <c r="C16" s="3" t="s">
        <v>27</v>
      </c>
      <c r="D16" s="3" t="s">
        <v>13</v>
      </c>
      <c r="E16" s="3" t="s">
        <v>14</v>
      </c>
      <c r="F16" s="3">
        <v>1000.0</v>
      </c>
      <c r="G16" s="4" t="s">
        <v>21</v>
      </c>
      <c r="H16" s="3">
        <v>2.5910768982880894</v>
      </c>
      <c r="K16" s="9" t="str">
        <f>IFERROR(__xludf.DUMMYFUNCTION("""COMPUTED_VALUE"""),"MT Urban")</f>
        <v>MT Urban</v>
      </c>
      <c r="L16" s="9" t="str">
        <f>IFERROR(__xludf.DUMMYFUNCTION("""COMPUTED_VALUE"""),"Elite")</f>
        <v>Elite</v>
      </c>
      <c r="M16" s="9" t="str">
        <f>IFERROR(__xludf.DUMMYFUNCTION("""COMPUTED_VALUE"""),"Unami Organic")</f>
        <v>Unami Organic</v>
      </c>
      <c r="N16" s="9" t="str">
        <f>IFERROR(__xludf.DUMMYFUNCTION("""COMPUTED_VALUE"""),"Sweetened")</f>
        <v>Sweetened</v>
      </c>
      <c r="O16" s="9" t="str">
        <f>IFERROR(__xludf.DUMMYFUNCTION("""COMPUTED_VALUE"""),"Carton")</f>
        <v>Carton</v>
      </c>
      <c r="P16" s="9">
        <f>IFERROR(__xludf.DUMMYFUNCTION("""COMPUTED_VALUE"""),1000.0)</f>
        <v>1000</v>
      </c>
      <c r="Q16" s="9" t="str">
        <f>IFERROR(__xludf.DUMMYFUNCTION("""COMPUTED_VALUE"""),"Q3'23")</f>
        <v>Q3'23</v>
      </c>
      <c r="R16" s="9">
        <f>IFERROR(__xludf.DUMMYFUNCTION("""COMPUTED_VALUE"""),2.5910768982880894)</f>
        <v>2.591076898</v>
      </c>
    </row>
    <row r="17" ht="14.25" customHeight="1">
      <c r="A17" s="3" t="s">
        <v>10</v>
      </c>
      <c r="B17" s="3" t="s">
        <v>11</v>
      </c>
      <c r="C17" s="3" t="s">
        <v>27</v>
      </c>
      <c r="D17" s="3" t="s">
        <v>13</v>
      </c>
      <c r="E17" s="3" t="s">
        <v>14</v>
      </c>
      <c r="F17" s="3">
        <v>1000.0</v>
      </c>
      <c r="G17" s="4" t="s">
        <v>22</v>
      </c>
      <c r="H17" s="3">
        <v>2.224742898716447</v>
      </c>
      <c r="K17" s="9" t="str">
        <f>IFERROR(__xludf.DUMMYFUNCTION("""COMPUTED_VALUE"""),"MT Urban")</f>
        <v>MT Urban</v>
      </c>
      <c r="L17" s="9" t="str">
        <f>IFERROR(__xludf.DUMMYFUNCTION("""COMPUTED_VALUE"""),"Elite")</f>
        <v>Elite</v>
      </c>
      <c r="M17" s="9" t="str">
        <f>IFERROR(__xludf.DUMMYFUNCTION("""COMPUTED_VALUE"""),"Unami Organic")</f>
        <v>Unami Organic</v>
      </c>
      <c r="N17" s="9" t="str">
        <f>IFERROR(__xludf.DUMMYFUNCTION("""COMPUTED_VALUE"""),"Sweetened")</f>
        <v>Sweetened</v>
      </c>
      <c r="O17" s="9" t="str">
        <f>IFERROR(__xludf.DUMMYFUNCTION("""COMPUTED_VALUE"""),"Carton")</f>
        <v>Carton</v>
      </c>
      <c r="P17" s="9">
        <f>IFERROR(__xludf.DUMMYFUNCTION("""COMPUTED_VALUE"""),1000.0)</f>
        <v>1000</v>
      </c>
      <c r="Q17" s="9" t="str">
        <f>IFERROR(__xludf.DUMMYFUNCTION("""COMPUTED_VALUE"""),"Q4'23")</f>
        <v>Q4'23</v>
      </c>
      <c r="R17" s="9">
        <f>IFERROR(__xludf.DUMMYFUNCTION("""COMPUTED_VALUE"""),2.224742898716447)</f>
        <v>2.224742899</v>
      </c>
    </row>
    <row r="18" ht="14.25" customHeight="1">
      <c r="A18" s="3" t="s">
        <v>10</v>
      </c>
      <c r="B18" s="3" t="s">
        <v>11</v>
      </c>
      <c r="C18" s="3" t="s">
        <v>27</v>
      </c>
      <c r="D18" s="3" t="s">
        <v>13</v>
      </c>
      <c r="E18" s="3" t="s">
        <v>14</v>
      </c>
      <c r="F18" s="3">
        <v>110.0</v>
      </c>
      <c r="G18" s="4" t="s">
        <v>15</v>
      </c>
      <c r="H18" s="3">
        <v>2.506862783026145</v>
      </c>
      <c r="K18" s="9" t="str">
        <f>IFERROR(__xludf.DUMMYFUNCTION("""COMPUTED_VALUE"""),"MT Urban")</f>
        <v>MT Urban</v>
      </c>
      <c r="L18" s="9" t="str">
        <f>IFERROR(__xludf.DUMMYFUNCTION("""COMPUTED_VALUE"""),"Elite")</f>
        <v>Elite</v>
      </c>
      <c r="M18" s="9" t="str">
        <f>IFERROR(__xludf.DUMMYFUNCTION("""COMPUTED_VALUE"""),"Unami Organic")</f>
        <v>Unami Organic</v>
      </c>
      <c r="N18" s="9" t="str">
        <f>IFERROR(__xludf.DUMMYFUNCTION("""COMPUTED_VALUE"""),"Sweetened")</f>
        <v>Sweetened</v>
      </c>
      <c r="O18" s="9" t="str">
        <f>IFERROR(__xludf.DUMMYFUNCTION("""COMPUTED_VALUE"""),"Carton")</f>
        <v>Carton</v>
      </c>
      <c r="P18" s="9">
        <f>IFERROR(__xludf.DUMMYFUNCTION("""COMPUTED_VALUE"""),110.0)</f>
        <v>110</v>
      </c>
      <c r="Q18" s="9" t="str">
        <f>IFERROR(__xludf.DUMMYFUNCTION("""COMPUTED_VALUE"""),"Q1'22")</f>
        <v>Q1'22</v>
      </c>
      <c r="R18" s="9">
        <f>IFERROR(__xludf.DUMMYFUNCTION("""COMPUTED_VALUE"""),2.506862783026145)</f>
        <v>2.506862783</v>
      </c>
    </row>
    <row r="19" ht="14.25" customHeight="1">
      <c r="A19" s="3" t="s">
        <v>10</v>
      </c>
      <c r="B19" s="3" t="s">
        <v>11</v>
      </c>
      <c r="C19" s="3" t="s">
        <v>27</v>
      </c>
      <c r="D19" s="3" t="s">
        <v>13</v>
      </c>
      <c r="E19" s="3" t="s">
        <v>14</v>
      </c>
      <c r="F19" s="3">
        <v>110.0</v>
      </c>
      <c r="G19" s="4" t="s">
        <v>16</v>
      </c>
      <c r="H19" s="3">
        <v>1.9729413834214677</v>
      </c>
      <c r="K19" s="9" t="str">
        <f>IFERROR(__xludf.DUMMYFUNCTION("""COMPUTED_VALUE"""),"MT Urban")</f>
        <v>MT Urban</v>
      </c>
      <c r="L19" s="9" t="str">
        <f>IFERROR(__xludf.DUMMYFUNCTION("""COMPUTED_VALUE"""),"Elite")</f>
        <v>Elite</v>
      </c>
      <c r="M19" s="9" t="str">
        <f>IFERROR(__xludf.DUMMYFUNCTION("""COMPUTED_VALUE"""),"Unami Organic")</f>
        <v>Unami Organic</v>
      </c>
      <c r="N19" s="9" t="str">
        <f>IFERROR(__xludf.DUMMYFUNCTION("""COMPUTED_VALUE"""),"Sweetened")</f>
        <v>Sweetened</v>
      </c>
      <c r="O19" s="9" t="str">
        <f>IFERROR(__xludf.DUMMYFUNCTION("""COMPUTED_VALUE"""),"Carton")</f>
        <v>Carton</v>
      </c>
      <c r="P19" s="9">
        <f>IFERROR(__xludf.DUMMYFUNCTION("""COMPUTED_VALUE"""),110.0)</f>
        <v>110</v>
      </c>
      <c r="Q19" s="9" t="str">
        <f>IFERROR(__xludf.DUMMYFUNCTION("""COMPUTED_VALUE"""),"Q2'22")</f>
        <v>Q2'22</v>
      </c>
      <c r="R19" s="9">
        <f>IFERROR(__xludf.DUMMYFUNCTION("""COMPUTED_VALUE"""),1.9729413834214677)</f>
        <v>1.972941383</v>
      </c>
    </row>
    <row r="20" ht="14.25" customHeight="1">
      <c r="A20" s="3" t="s">
        <v>10</v>
      </c>
      <c r="B20" s="3" t="s">
        <v>11</v>
      </c>
      <c r="C20" s="3" t="s">
        <v>27</v>
      </c>
      <c r="D20" s="3" t="s">
        <v>13</v>
      </c>
      <c r="E20" s="3" t="s">
        <v>14</v>
      </c>
      <c r="F20" s="3">
        <v>110.0</v>
      </c>
      <c r="G20" s="4" t="s">
        <v>17</v>
      </c>
      <c r="H20" s="3">
        <v>2.1885985982243357</v>
      </c>
      <c r="K20" s="9" t="str">
        <f>IFERROR(__xludf.DUMMYFUNCTION("""COMPUTED_VALUE"""),"MT Urban")</f>
        <v>MT Urban</v>
      </c>
      <c r="L20" s="9" t="str">
        <f>IFERROR(__xludf.DUMMYFUNCTION("""COMPUTED_VALUE"""),"Elite")</f>
        <v>Elite</v>
      </c>
      <c r="M20" s="9" t="str">
        <f>IFERROR(__xludf.DUMMYFUNCTION("""COMPUTED_VALUE"""),"Unami Organic")</f>
        <v>Unami Organic</v>
      </c>
      <c r="N20" s="9" t="str">
        <f>IFERROR(__xludf.DUMMYFUNCTION("""COMPUTED_VALUE"""),"Sweetened")</f>
        <v>Sweetened</v>
      </c>
      <c r="O20" s="9" t="str">
        <f>IFERROR(__xludf.DUMMYFUNCTION("""COMPUTED_VALUE"""),"Carton")</f>
        <v>Carton</v>
      </c>
      <c r="P20" s="9">
        <f>IFERROR(__xludf.DUMMYFUNCTION("""COMPUTED_VALUE"""),110.0)</f>
        <v>110</v>
      </c>
      <c r="Q20" s="9" t="str">
        <f>IFERROR(__xludf.DUMMYFUNCTION("""COMPUTED_VALUE"""),"Q3'22")</f>
        <v>Q3'22</v>
      </c>
      <c r="R20" s="9">
        <f>IFERROR(__xludf.DUMMYFUNCTION("""COMPUTED_VALUE"""),2.1885985982243357)</f>
        <v>2.188598598</v>
      </c>
    </row>
    <row r="21" ht="14.25" customHeight="1">
      <c r="A21" s="3" t="s">
        <v>10</v>
      </c>
      <c r="B21" s="3" t="s">
        <v>11</v>
      </c>
      <c r="C21" s="3" t="s">
        <v>27</v>
      </c>
      <c r="D21" s="3" t="s">
        <v>13</v>
      </c>
      <c r="E21" s="3" t="s">
        <v>14</v>
      </c>
      <c r="F21" s="3">
        <v>110.0</v>
      </c>
      <c r="G21" s="4" t="s">
        <v>18</v>
      </c>
      <c r="H21" s="3">
        <v>2.1799240834286087</v>
      </c>
      <c r="K21" s="9" t="str">
        <f>IFERROR(__xludf.DUMMYFUNCTION("""COMPUTED_VALUE"""),"MT Urban")</f>
        <v>MT Urban</v>
      </c>
      <c r="L21" s="9" t="str">
        <f>IFERROR(__xludf.DUMMYFUNCTION("""COMPUTED_VALUE"""),"Elite")</f>
        <v>Elite</v>
      </c>
      <c r="M21" s="9" t="str">
        <f>IFERROR(__xludf.DUMMYFUNCTION("""COMPUTED_VALUE"""),"Unami Organic")</f>
        <v>Unami Organic</v>
      </c>
      <c r="N21" s="9" t="str">
        <f>IFERROR(__xludf.DUMMYFUNCTION("""COMPUTED_VALUE"""),"Sweetened")</f>
        <v>Sweetened</v>
      </c>
      <c r="O21" s="9" t="str">
        <f>IFERROR(__xludf.DUMMYFUNCTION("""COMPUTED_VALUE"""),"Carton")</f>
        <v>Carton</v>
      </c>
      <c r="P21" s="9">
        <f>IFERROR(__xludf.DUMMYFUNCTION("""COMPUTED_VALUE"""),110.0)</f>
        <v>110</v>
      </c>
      <c r="Q21" s="9" t="str">
        <f>IFERROR(__xludf.DUMMYFUNCTION("""COMPUTED_VALUE"""),"Q4'22")</f>
        <v>Q4'22</v>
      </c>
      <c r="R21" s="9">
        <f>IFERROR(__xludf.DUMMYFUNCTION("""COMPUTED_VALUE"""),2.1799240834286087)</f>
        <v>2.179924083</v>
      </c>
    </row>
    <row r="22" ht="14.25" customHeight="1">
      <c r="A22" s="3" t="s">
        <v>10</v>
      </c>
      <c r="B22" s="3" t="s">
        <v>11</v>
      </c>
      <c r="C22" s="3" t="s">
        <v>27</v>
      </c>
      <c r="D22" s="3" t="s">
        <v>13</v>
      </c>
      <c r="E22" s="3" t="s">
        <v>14</v>
      </c>
      <c r="F22" s="3">
        <v>110.0</v>
      </c>
      <c r="G22" s="4" t="s">
        <v>19</v>
      </c>
      <c r="H22" s="3">
        <v>2.4536363029210624</v>
      </c>
      <c r="K22" s="9" t="str">
        <f>IFERROR(__xludf.DUMMYFUNCTION("""COMPUTED_VALUE"""),"MT Urban")</f>
        <v>MT Urban</v>
      </c>
      <c r="L22" s="9" t="str">
        <f>IFERROR(__xludf.DUMMYFUNCTION("""COMPUTED_VALUE"""),"Elite")</f>
        <v>Elite</v>
      </c>
      <c r="M22" s="9" t="str">
        <f>IFERROR(__xludf.DUMMYFUNCTION("""COMPUTED_VALUE"""),"Unami Organic")</f>
        <v>Unami Organic</v>
      </c>
      <c r="N22" s="9" t="str">
        <f>IFERROR(__xludf.DUMMYFUNCTION("""COMPUTED_VALUE"""),"Sweetened")</f>
        <v>Sweetened</v>
      </c>
      <c r="O22" s="9" t="str">
        <f>IFERROR(__xludf.DUMMYFUNCTION("""COMPUTED_VALUE"""),"Carton")</f>
        <v>Carton</v>
      </c>
      <c r="P22" s="9">
        <f>IFERROR(__xludf.DUMMYFUNCTION("""COMPUTED_VALUE"""),110.0)</f>
        <v>110</v>
      </c>
      <c r="Q22" s="9" t="str">
        <f>IFERROR(__xludf.DUMMYFUNCTION("""COMPUTED_VALUE"""),"Q1'23")</f>
        <v>Q1'23</v>
      </c>
      <c r="R22" s="9">
        <f>IFERROR(__xludf.DUMMYFUNCTION("""COMPUTED_VALUE"""),2.4536363029210624)</f>
        <v>2.453636303</v>
      </c>
    </row>
    <row r="23" ht="14.25" customHeight="1">
      <c r="A23" s="3" t="s">
        <v>10</v>
      </c>
      <c r="B23" s="3" t="s">
        <v>11</v>
      </c>
      <c r="C23" s="3" t="s">
        <v>27</v>
      </c>
      <c r="D23" s="3" t="s">
        <v>13</v>
      </c>
      <c r="E23" s="3" t="s">
        <v>14</v>
      </c>
      <c r="F23" s="3">
        <v>110.0</v>
      </c>
      <c r="G23" s="4" t="s">
        <v>20</v>
      </c>
      <c r="H23" s="3">
        <v>2.45799827257943</v>
      </c>
      <c r="K23" s="9" t="str">
        <f>IFERROR(__xludf.DUMMYFUNCTION("""COMPUTED_VALUE"""),"MT Urban")</f>
        <v>MT Urban</v>
      </c>
      <c r="L23" s="9" t="str">
        <f>IFERROR(__xludf.DUMMYFUNCTION("""COMPUTED_VALUE"""),"Elite")</f>
        <v>Elite</v>
      </c>
      <c r="M23" s="9" t="str">
        <f>IFERROR(__xludf.DUMMYFUNCTION("""COMPUTED_VALUE"""),"Unami Organic")</f>
        <v>Unami Organic</v>
      </c>
      <c r="N23" s="9" t="str">
        <f>IFERROR(__xludf.DUMMYFUNCTION("""COMPUTED_VALUE"""),"Sweetened")</f>
        <v>Sweetened</v>
      </c>
      <c r="O23" s="9" t="str">
        <f>IFERROR(__xludf.DUMMYFUNCTION("""COMPUTED_VALUE"""),"Carton")</f>
        <v>Carton</v>
      </c>
      <c r="P23" s="9">
        <f>IFERROR(__xludf.DUMMYFUNCTION("""COMPUTED_VALUE"""),110.0)</f>
        <v>110</v>
      </c>
      <c r="Q23" s="9" t="str">
        <f>IFERROR(__xludf.DUMMYFUNCTION("""COMPUTED_VALUE"""),"Q2'23")</f>
        <v>Q2'23</v>
      </c>
      <c r="R23" s="9">
        <f>IFERROR(__xludf.DUMMYFUNCTION("""COMPUTED_VALUE"""),2.45799827257943)</f>
        <v>2.457998273</v>
      </c>
    </row>
    <row r="24" ht="14.25" customHeight="1">
      <c r="A24" s="3" t="s">
        <v>10</v>
      </c>
      <c r="B24" s="3" t="s">
        <v>11</v>
      </c>
      <c r="C24" s="3" t="s">
        <v>27</v>
      </c>
      <c r="D24" s="3" t="s">
        <v>13</v>
      </c>
      <c r="E24" s="3" t="s">
        <v>14</v>
      </c>
      <c r="F24" s="3">
        <v>110.0</v>
      </c>
      <c r="G24" s="4" t="s">
        <v>21</v>
      </c>
      <c r="H24" s="3">
        <v>2.3288446066580994</v>
      </c>
      <c r="K24" s="9" t="str">
        <f>IFERROR(__xludf.DUMMYFUNCTION("""COMPUTED_VALUE"""),"MT Urban")</f>
        <v>MT Urban</v>
      </c>
      <c r="L24" s="9" t="str">
        <f>IFERROR(__xludf.DUMMYFUNCTION("""COMPUTED_VALUE"""),"Elite")</f>
        <v>Elite</v>
      </c>
      <c r="M24" s="9" t="str">
        <f>IFERROR(__xludf.DUMMYFUNCTION("""COMPUTED_VALUE"""),"Unami Organic")</f>
        <v>Unami Organic</v>
      </c>
      <c r="N24" s="9" t="str">
        <f>IFERROR(__xludf.DUMMYFUNCTION("""COMPUTED_VALUE"""),"Sweetened")</f>
        <v>Sweetened</v>
      </c>
      <c r="O24" s="9" t="str">
        <f>IFERROR(__xludf.DUMMYFUNCTION("""COMPUTED_VALUE"""),"Carton")</f>
        <v>Carton</v>
      </c>
      <c r="P24" s="9">
        <f>IFERROR(__xludf.DUMMYFUNCTION("""COMPUTED_VALUE"""),110.0)</f>
        <v>110</v>
      </c>
      <c r="Q24" s="9" t="str">
        <f>IFERROR(__xludf.DUMMYFUNCTION("""COMPUTED_VALUE"""),"Q3'23")</f>
        <v>Q3'23</v>
      </c>
      <c r="R24" s="9">
        <f>IFERROR(__xludf.DUMMYFUNCTION("""COMPUTED_VALUE"""),2.3288446066580994)</f>
        <v>2.328844607</v>
      </c>
    </row>
    <row r="25" ht="14.25" customHeight="1">
      <c r="A25" s="3" t="s">
        <v>10</v>
      </c>
      <c r="B25" s="3" t="s">
        <v>11</v>
      </c>
      <c r="C25" s="3" t="s">
        <v>27</v>
      </c>
      <c r="D25" s="3" t="s">
        <v>13</v>
      </c>
      <c r="E25" s="3" t="s">
        <v>14</v>
      </c>
      <c r="F25" s="3">
        <v>110.0</v>
      </c>
      <c r="G25" s="4" t="s">
        <v>22</v>
      </c>
      <c r="H25" s="3">
        <v>2.3076039489102502</v>
      </c>
      <c r="K25" s="9" t="str">
        <f>IFERROR(__xludf.DUMMYFUNCTION("""COMPUTED_VALUE"""),"MT Urban")</f>
        <v>MT Urban</v>
      </c>
      <c r="L25" s="9" t="str">
        <f>IFERROR(__xludf.DUMMYFUNCTION("""COMPUTED_VALUE"""),"Elite")</f>
        <v>Elite</v>
      </c>
      <c r="M25" s="9" t="str">
        <f>IFERROR(__xludf.DUMMYFUNCTION("""COMPUTED_VALUE"""),"Unami Organic")</f>
        <v>Unami Organic</v>
      </c>
      <c r="N25" s="9" t="str">
        <f>IFERROR(__xludf.DUMMYFUNCTION("""COMPUTED_VALUE"""),"Sweetened")</f>
        <v>Sweetened</v>
      </c>
      <c r="O25" s="9" t="str">
        <f>IFERROR(__xludf.DUMMYFUNCTION("""COMPUTED_VALUE"""),"Carton")</f>
        <v>Carton</v>
      </c>
      <c r="P25" s="9">
        <f>IFERROR(__xludf.DUMMYFUNCTION("""COMPUTED_VALUE"""),110.0)</f>
        <v>110</v>
      </c>
      <c r="Q25" s="9" t="str">
        <f>IFERROR(__xludf.DUMMYFUNCTION("""COMPUTED_VALUE"""),"Q4'23")</f>
        <v>Q4'23</v>
      </c>
      <c r="R25" s="9">
        <f>IFERROR(__xludf.DUMMYFUNCTION("""COMPUTED_VALUE"""),2.3076039489102502)</f>
        <v>2.307603949</v>
      </c>
    </row>
    <row r="26" ht="14.25" customHeight="1">
      <c r="A26" s="3" t="s">
        <v>10</v>
      </c>
      <c r="B26" s="3" t="s">
        <v>11</v>
      </c>
      <c r="C26" s="3" t="s">
        <v>27</v>
      </c>
      <c r="D26" s="3" t="s">
        <v>13</v>
      </c>
      <c r="E26" s="3" t="s">
        <v>14</v>
      </c>
      <c r="F26" s="3">
        <v>180.0</v>
      </c>
      <c r="G26" s="4" t="s">
        <v>15</v>
      </c>
      <c r="H26" s="3">
        <v>6.484403117340011</v>
      </c>
      <c r="K26" s="9" t="str">
        <f>IFERROR(__xludf.DUMMYFUNCTION("""COMPUTED_VALUE"""),"MT Urban")</f>
        <v>MT Urban</v>
      </c>
      <c r="L26" s="9" t="str">
        <f>IFERROR(__xludf.DUMMYFUNCTION("""COMPUTED_VALUE"""),"Elite")</f>
        <v>Elite</v>
      </c>
      <c r="M26" s="9" t="str">
        <f>IFERROR(__xludf.DUMMYFUNCTION("""COMPUTED_VALUE"""),"Unami Organic")</f>
        <v>Unami Organic</v>
      </c>
      <c r="N26" s="9" t="str">
        <f>IFERROR(__xludf.DUMMYFUNCTION("""COMPUTED_VALUE"""),"Sweetened")</f>
        <v>Sweetened</v>
      </c>
      <c r="O26" s="9" t="str">
        <f>IFERROR(__xludf.DUMMYFUNCTION("""COMPUTED_VALUE"""),"Carton")</f>
        <v>Carton</v>
      </c>
      <c r="P26" s="9">
        <f>IFERROR(__xludf.DUMMYFUNCTION("""COMPUTED_VALUE"""),180.0)</f>
        <v>180</v>
      </c>
      <c r="Q26" s="9" t="str">
        <f>IFERROR(__xludf.DUMMYFUNCTION("""COMPUTED_VALUE"""),"Q1'22")</f>
        <v>Q1'22</v>
      </c>
      <c r="R26" s="9">
        <f>IFERROR(__xludf.DUMMYFUNCTION("""COMPUTED_VALUE"""),6.484403117340011)</f>
        <v>6.484403117</v>
      </c>
    </row>
    <row r="27" ht="14.25" customHeight="1">
      <c r="A27" s="3" t="s">
        <v>10</v>
      </c>
      <c r="B27" s="3" t="s">
        <v>11</v>
      </c>
      <c r="C27" s="3" t="s">
        <v>27</v>
      </c>
      <c r="D27" s="3" t="s">
        <v>13</v>
      </c>
      <c r="E27" s="3" t="s">
        <v>14</v>
      </c>
      <c r="F27" s="3">
        <v>180.0</v>
      </c>
      <c r="G27" s="4" t="s">
        <v>16</v>
      </c>
      <c r="H27" s="3">
        <v>6.047950812758642</v>
      </c>
      <c r="K27" s="9" t="str">
        <f>IFERROR(__xludf.DUMMYFUNCTION("""COMPUTED_VALUE"""),"MT Urban")</f>
        <v>MT Urban</v>
      </c>
      <c r="L27" s="9" t="str">
        <f>IFERROR(__xludf.DUMMYFUNCTION("""COMPUTED_VALUE"""),"Elite")</f>
        <v>Elite</v>
      </c>
      <c r="M27" s="9" t="str">
        <f>IFERROR(__xludf.DUMMYFUNCTION("""COMPUTED_VALUE"""),"Unami Organic")</f>
        <v>Unami Organic</v>
      </c>
      <c r="N27" s="9" t="str">
        <f>IFERROR(__xludf.DUMMYFUNCTION("""COMPUTED_VALUE"""),"Sweetened")</f>
        <v>Sweetened</v>
      </c>
      <c r="O27" s="9" t="str">
        <f>IFERROR(__xludf.DUMMYFUNCTION("""COMPUTED_VALUE"""),"Carton")</f>
        <v>Carton</v>
      </c>
      <c r="P27" s="9">
        <f>IFERROR(__xludf.DUMMYFUNCTION("""COMPUTED_VALUE"""),180.0)</f>
        <v>180</v>
      </c>
      <c r="Q27" s="9" t="str">
        <f>IFERROR(__xludf.DUMMYFUNCTION("""COMPUTED_VALUE"""),"Q2'22")</f>
        <v>Q2'22</v>
      </c>
      <c r="R27" s="9">
        <f>IFERROR(__xludf.DUMMYFUNCTION("""COMPUTED_VALUE"""),6.047950812758642)</f>
        <v>6.047950813</v>
      </c>
    </row>
    <row r="28" ht="14.25" customHeight="1">
      <c r="A28" s="3" t="s">
        <v>10</v>
      </c>
      <c r="B28" s="3" t="s">
        <v>11</v>
      </c>
      <c r="C28" s="3" t="s">
        <v>27</v>
      </c>
      <c r="D28" s="3" t="s">
        <v>13</v>
      </c>
      <c r="E28" s="3" t="s">
        <v>14</v>
      </c>
      <c r="F28" s="3">
        <v>180.0</v>
      </c>
      <c r="G28" s="4" t="s">
        <v>17</v>
      </c>
      <c r="H28" s="3">
        <v>6.130340960675384</v>
      </c>
      <c r="K28" s="9" t="str">
        <f>IFERROR(__xludf.DUMMYFUNCTION("""COMPUTED_VALUE"""),"MT Urban")</f>
        <v>MT Urban</v>
      </c>
      <c r="L28" s="9" t="str">
        <f>IFERROR(__xludf.DUMMYFUNCTION("""COMPUTED_VALUE"""),"Elite")</f>
        <v>Elite</v>
      </c>
      <c r="M28" s="9" t="str">
        <f>IFERROR(__xludf.DUMMYFUNCTION("""COMPUTED_VALUE"""),"Unami Organic")</f>
        <v>Unami Organic</v>
      </c>
      <c r="N28" s="9" t="str">
        <f>IFERROR(__xludf.DUMMYFUNCTION("""COMPUTED_VALUE"""),"Sweetened")</f>
        <v>Sweetened</v>
      </c>
      <c r="O28" s="9" t="str">
        <f>IFERROR(__xludf.DUMMYFUNCTION("""COMPUTED_VALUE"""),"Carton")</f>
        <v>Carton</v>
      </c>
      <c r="P28" s="9">
        <f>IFERROR(__xludf.DUMMYFUNCTION("""COMPUTED_VALUE"""),180.0)</f>
        <v>180</v>
      </c>
      <c r="Q28" s="9" t="str">
        <f>IFERROR(__xludf.DUMMYFUNCTION("""COMPUTED_VALUE"""),"Q3'22")</f>
        <v>Q3'22</v>
      </c>
      <c r="R28" s="9">
        <f>IFERROR(__xludf.DUMMYFUNCTION("""COMPUTED_VALUE"""),6.130340960675384)</f>
        <v>6.130340961</v>
      </c>
    </row>
    <row r="29" ht="14.25" customHeight="1">
      <c r="A29" s="3" t="s">
        <v>10</v>
      </c>
      <c r="B29" s="3" t="s">
        <v>11</v>
      </c>
      <c r="C29" s="3" t="s">
        <v>27</v>
      </c>
      <c r="D29" s="3" t="s">
        <v>13</v>
      </c>
      <c r="E29" s="3" t="s">
        <v>14</v>
      </c>
      <c r="F29" s="3">
        <v>180.0</v>
      </c>
      <c r="G29" s="4" t="s">
        <v>18</v>
      </c>
      <c r="H29" s="3">
        <v>7.169751793678096</v>
      </c>
      <c r="K29" s="9" t="str">
        <f>IFERROR(__xludf.DUMMYFUNCTION("""COMPUTED_VALUE"""),"MT Urban")</f>
        <v>MT Urban</v>
      </c>
      <c r="L29" s="9" t="str">
        <f>IFERROR(__xludf.DUMMYFUNCTION("""COMPUTED_VALUE"""),"Elite")</f>
        <v>Elite</v>
      </c>
      <c r="M29" s="9" t="str">
        <f>IFERROR(__xludf.DUMMYFUNCTION("""COMPUTED_VALUE"""),"Unami Organic")</f>
        <v>Unami Organic</v>
      </c>
      <c r="N29" s="9" t="str">
        <f>IFERROR(__xludf.DUMMYFUNCTION("""COMPUTED_VALUE"""),"Sweetened")</f>
        <v>Sweetened</v>
      </c>
      <c r="O29" s="9" t="str">
        <f>IFERROR(__xludf.DUMMYFUNCTION("""COMPUTED_VALUE"""),"Carton")</f>
        <v>Carton</v>
      </c>
      <c r="P29" s="9">
        <f>IFERROR(__xludf.DUMMYFUNCTION("""COMPUTED_VALUE"""),180.0)</f>
        <v>180</v>
      </c>
      <c r="Q29" s="9" t="str">
        <f>IFERROR(__xludf.DUMMYFUNCTION("""COMPUTED_VALUE"""),"Q4'22")</f>
        <v>Q4'22</v>
      </c>
      <c r="R29" s="9">
        <f>IFERROR(__xludf.DUMMYFUNCTION("""COMPUTED_VALUE"""),7.169751793678096)</f>
        <v>7.169751794</v>
      </c>
    </row>
    <row r="30" ht="14.25" customHeight="1">
      <c r="A30" s="3" t="s">
        <v>10</v>
      </c>
      <c r="B30" s="3" t="s">
        <v>11</v>
      </c>
      <c r="C30" s="3" t="s">
        <v>27</v>
      </c>
      <c r="D30" s="3" t="s">
        <v>13</v>
      </c>
      <c r="E30" s="3" t="s">
        <v>14</v>
      </c>
      <c r="F30" s="3">
        <v>180.0</v>
      </c>
      <c r="G30" s="4" t="s">
        <v>19</v>
      </c>
      <c r="H30" s="3">
        <v>6.198380438660216</v>
      </c>
      <c r="K30" s="9" t="str">
        <f>IFERROR(__xludf.DUMMYFUNCTION("""COMPUTED_VALUE"""),"MT Urban")</f>
        <v>MT Urban</v>
      </c>
      <c r="L30" s="9" t="str">
        <f>IFERROR(__xludf.DUMMYFUNCTION("""COMPUTED_VALUE"""),"Elite")</f>
        <v>Elite</v>
      </c>
      <c r="M30" s="9" t="str">
        <f>IFERROR(__xludf.DUMMYFUNCTION("""COMPUTED_VALUE"""),"Unami Organic")</f>
        <v>Unami Organic</v>
      </c>
      <c r="N30" s="9" t="str">
        <f>IFERROR(__xludf.DUMMYFUNCTION("""COMPUTED_VALUE"""),"Sweetened")</f>
        <v>Sweetened</v>
      </c>
      <c r="O30" s="9" t="str">
        <f>IFERROR(__xludf.DUMMYFUNCTION("""COMPUTED_VALUE"""),"Carton")</f>
        <v>Carton</v>
      </c>
      <c r="P30" s="9">
        <f>IFERROR(__xludf.DUMMYFUNCTION("""COMPUTED_VALUE"""),180.0)</f>
        <v>180</v>
      </c>
      <c r="Q30" s="9" t="str">
        <f>IFERROR(__xludf.DUMMYFUNCTION("""COMPUTED_VALUE"""),"Q1'23")</f>
        <v>Q1'23</v>
      </c>
      <c r="R30" s="9">
        <f>IFERROR(__xludf.DUMMYFUNCTION("""COMPUTED_VALUE"""),6.198380438660216)</f>
        <v>6.198380439</v>
      </c>
    </row>
    <row r="31" ht="14.25" customHeight="1">
      <c r="A31" s="3" t="s">
        <v>10</v>
      </c>
      <c r="B31" s="3" t="s">
        <v>11</v>
      </c>
      <c r="C31" s="3" t="s">
        <v>27</v>
      </c>
      <c r="D31" s="3" t="s">
        <v>13</v>
      </c>
      <c r="E31" s="3" t="s">
        <v>14</v>
      </c>
      <c r="F31" s="3">
        <v>180.0</v>
      </c>
      <c r="G31" s="4" t="s">
        <v>20</v>
      </c>
      <c r="H31" s="3">
        <v>6.518217276118509</v>
      </c>
      <c r="K31" s="9" t="str">
        <f>IFERROR(__xludf.DUMMYFUNCTION("""COMPUTED_VALUE"""),"MT Urban")</f>
        <v>MT Urban</v>
      </c>
      <c r="L31" s="9" t="str">
        <f>IFERROR(__xludf.DUMMYFUNCTION("""COMPUTED_VALUE"""),"Elite")</f>
        <v>Elite</v>
      </c>
      <c r="M31" s="9" t="str">
        <f>IFERROR(__xludf.DUMMYFUNCTION("""COMPUTED_VALUE"""),"Unami Organic")</f>
        <v>Unami Organic</v>
      </c>
      <c r="N31" s="9" t="str">
        <f>IFERROR(__xludf.DUMMYFUNCTION("""COMPUTED_VALUE"""),"Sweetened")</f>
        <v>Sweetened</v>
      </c>
      <c r="O31" s="9" t="str">
        <f>IFERROR(__xludf.DUMMYFUNCTION("""COMPUTED_VALUE"""),"Carton")</f>
        <v>Carton</v>
      </c>
      <c r="P31" s="9">
        <f>IFERROR(__xludf.DUMMYFUNCTION("""COMPUTED_VALUE"""),180.0)</f>
        <v>180</v>
      </c>
      <c r="Q31" s="9" t="str">
        <f>IFERROR(__xludf.DUMMYFUNCTION("""COMPUTED_VALUE"""),"Q2'23")</f>
        <v>Q2'23</v>
      </c>
      <c r="R31" s="9">
        <f>IFERROR(__xludf.DUMMYFUNCTION("""COMPUTED_VALUE"""),6.518217276118509)</f>
        <v>6.518217276</v>
      </c>
    </row>
    <row r="32" ht="14.25" customHeight="1">
      <c r="A32" s="3" t="s">
        <v>10</v>
      </c>
      <c r="B32" s="3" t="s">
        <v>11</v>
      </c>
      <c r="C32" s="3" t="s">
        <v>27</v>
      </c>
      <c r="D32" s="3" t="s">
        <v>13</v>
      </c>
      <c r="E32" s="3" t="s">
        <v>14</v>
      </c>
      <c r="F32" s="3">
        <v>180.0</v>
      </c>
      <c r="G32" s="4" t="s">
        <v>21</v>
      </c>
      <c r="H32" s="3">
        <v>7.045785696482453</v>
      </c>
      <c r="K32" s="9" t="str">
        <f>IFERROR(__xludf.DUMMYFUNCTION("""COMPUTED_VALUE"""),"MT Urban")</f>
        <v>MT Urban</v>
      </c>
      <c r="L32" s="9" t="str">
        <f>IFERROR(__xludf.DUMMYFUNCTION("""COMPUTED_VALUE"""),"Elite")</f>
        <v>Elite</v>
      </c>
      <c r="M32" s="9" t="str">
        <f>IFERROR(__xludf.DUMMYFUNCTION("""COMPUTED_VALUE"""),"Unami Organic")</f>
        <v>Unami Organic</v>
      </c>
      <c r="N32" s="9" t="str">
        <f>IFERROR(__xludf.DUMMYFUNCTION("""COMPUTED_VALUE"""),"Sweetened")</f>
        <v>Sweetened</v>
      </c>
      <c r="O32" s="9" t="str">
        <f>IFERROR(__xludf.DUMMYFUNCTION("""COMPUTED_VALUE"""),"Carton")</f>
        <v>Carton</v>
      </c>
      <c r="P32" s="9">
        <f>IFERROR(__xludf.DUMMYFUNCTION("""COMPUTED_VALUE"""),180.0)</f>
        <v>180</v>
      </c>
      <c r="Q32" s="9" t="str">
        <f>IFERROR(__xludf.DUMMYFUNCTION("""COMPUTED_VALUE"""),"Q3'23")</f>
        <v>Q3'23</v>
      </c>
      <c r="R32" s="9">
        <f>IFERROR(__xludf.DUMMYFUNCTION("""COMPUTED_VALUE"""),7.045785696482453)</f>
        <v>7.045785696</v>
      </c>
    </row>
    <row r="33" ht="14.25" customHeight="1">
      <c r="A33" s="3" t="s">
        <v>10</v>
      </c>
      <c r="B33" s="3" t="s">
        <v>11</v>
      </c>
      <c r="C33" s="3" t="s">
        <v>27</v>
      </c>
      <c r="D33" s="3" t="s">
        <v>13</v>
      </c>
      <c r="E33" s="3" t="s">
        <v>14</v>
      </c>
      <c r="F33" s="3">
        <v>180.0</v>
      </c>
      <c r="G33" s="4" t="s">
        <v>22</v>
      </c>
      <c r="H33" s="3">
        <v>6.370693801983617</v>
      </c>
      <c r="K33" s="9" t="str">
        <f>IFERROR(__xludf.DUMMYFUNCTION("""COMPUTED_VALUE"""),"MT Urban")</f>
        <v>MT Urban</v>
      </c>
      <c r="L33" s="9" t="str">
        <f>IFERROR(__xludf.DUMMYFUNCTION("""COMPUTED_VALUE"""),"Elite")</f>
        <v>Elite</v>
      </c>
      <c r="M33" s="9" t="str">
        <f>IFERROR(__xludf.DUMMYFUNCTION("""COMPUTED_VALUE"""),"Unami Organic")</f>
        <v>Unami Organic</v>
      </c>
      <c r="N33" s="9" t="str">
        <f>IFERROR(__xludf.DUMMYFUNCTION("""COMPUTED_VALUE"""),"Sweetened")</f>
        <v>Sweetened</v>
      </c>
      <c r="O33" s="9" t="str">
        <f>IFERROR(__xludf.DUMMYFUNCTION("""COMPUTED_VALUE"""),"Carton")</f>
        <v>Carton</v>
      </c>
      <c r="P33" s="9">
        <f>IFERROR(__xludf.DUMMYFUNCTION("""COMPUTED_VALUE"""),180.0)</f>
        <v>180</v>
      </c>
      <c r="Q33" s="9" t="str">
        <f>IFERROR(__xludf.DUMMYFUNCTION("""COMPUTED_VALUE"""),"Q4'23")</f>
        <v>Q4'23</v>
      </c>
      <c r="R33" s="9">
        <f>IFERROR(__xludf.DUMMYFUNCTION("""COMPUTED_VALUE"""),6.370693801983617)</f>
        <v>6.370693802</v>
      </c>
    </row>
    <row r="34" ht="14.25" customHeight="1">
      <c r="A34" s="3" t="s">
        <v>10</v>
      </c>
      <c r="B34" s="3" t="s">
        <v>11</v>
      </c>
      <c r="C34" s="3" t="s">
        <v>12</v>
      </c>
      <c r="D34" s="3" t="s">
        <v>28</v>
      </c>
      <c r="E34" s="3" t="s">
        <v>29</v>
      </c>
      <c r="F34" s="3">
        <v>220.0</v>
      </c>
      <c r="G34" s="4" t="s">
        <v>15</v>
      </c>
      <c r="H34" s="3">
        <v>1.1436304332489347</v>
      </c>
      <c r="K34" s="9" t="str">
        <f>IFERROR(__xludf.DUMMYFUNCTION("""COMPUTED_VALUE"""),"MT Urban")</f>
        <v>MT Urban</v>
      </c>
      <c r="L34" s="9" t="str">
        <f>IFERROR(__xludf.DUMMYFUNCTION("""COMPUTED_VALUE"""),"Elite")</f>
        <v>Elite</v>
      </c>
      <c r="M34" s="9" t="str">
        <f>IFERROR(__xludf.DUMMYFUNCTION("""COMPUTED_VALUE"""),"Unami")</f>
        <v>Unami</v>
      </c>
      <c r="N34" s="9" t="str">
        <f>IFERROR(__xludf.DUMMYFUNCTION("""COMPUTED_VALUE"""),"Chocolate")</f>
        <v>Chocolate</v>
      </c>
      <c r="O34" s="9" t="str">
        <f>IFERROR(__xludf.DUMMYFUNCTION("""COMPUTED_VALUE"""),"TFA")</f>
        <v>TFA</v>
      </c>
      <c r="P34" s="9">
        <f>IFERROR(__xludf.DUMMYFUNCTION("""COMPUTED_VALUE"""),220.0)</f>
        <v>220</v>
      </c>
      <c r="Q34" s="9" t="str">
        <f>IFERROR(__xludf.DUMMYFUNCTION("""COMPUTED_VALUE"""),"Q1'22")</f>
        <v>Q1'22</v>
      </c>
      <c r="R34" s="9">
        <f>IFERROR(__xludf.DUMMYFUNCTION("""COMPUTED_VALUE"""),1.1436304332489347)</f>
        <v>1.143630433</v>
      </c>
    </row>
    <row r="35" ht="14.25" customHeight="1">
      <c r="A35" s="3" t="s">
        <v>10</v>
      </c>
      <c r="B35" s="3" t="s">
        <v>11</v>
      </c>
      <c r="C35" s="3" t="s">
        <v>12</v>
      </c>
      <c r="D35" s="3" t="s">
        <v>28</v>
      </c>
      <c r="E35" s="3" t="s">
        <v>29</v>
      </c>
      <c r="F35" s="3">
        <v>220.0</v>
      </c>
      <c r="G35" s="4" t="s">
        <v>16</v>
      </c>
      <c r="H35" s="3">
        <v>1.150538030801228</v>
      </c>
      <c r="K35" s="9" t="str">
        <f>IFERROR(__xludf.DUMMYFUNCTION("""COMPUTED_VALUE"""),"MT Urban")</f>
        <v>MT Urban</v>
      </c>
      <c r="L35" s="9" t="str">
        <f>IFERROR(__xludf.DUMMYFUNCTION("""COMPUTED_VALUE"""),"Elite")</f>
        <v>Elite</v>
      </c>
      <c r="M35" s="9" t="str">
        <f>IFERROR(__xludf.DUMMYFUNCTION("""COMPUTED_VALUE"""),"Unami")</f>
        <v>Unami</v>
      </c>
      <c r="N35" s="9" t="str">
        <f>IFERROR(__xludf.DUMMYFUNCTION("""COMPUTED_VALUE"""),"Chocolate")</f>
        <v>Chocolate</v>
      </c>
      <c r="O35" s="9" t="str">
        <f>IFERROR(__xludf.DUMMYFUNCTION("""COMPUTED_VALUE"""),"TFA")</f>
        <v>TFA</v>
      </c>
      <c r="P35" s="9">
        <f>IFERROR(__xludf.DUMMYFUNCTION("""COMPUTED_VALUE"""),220.0)</f>
        <v>220</v>
      </c>
      <c r="Q35" s="9" t="str">
        <f>IFERROR(__xludf.DUMMYFUNCTION("""COMPUTED_VALUE"""),"Q2'22")</f>
        <v>Q2'22</v>
      </c>
      <c r="R35" s="9">
        <f>IFERROR(__xludf.DUMMYFUNCTION("""COMPUTED_VALUE"""),1.150538030801228)</f>
        <v>1.150538031</v>
      </c>
    </row>
    <row r="36" ht="14.25" customHeight="1">
      <c r="A36" s="3" t="s">
        <v>10</v>
      </c>
      <c r="B36" s="3" t="s">
        <v>11</v>
      </c>
      <c r="C36" s="3" t="s">
        <v>12</v>
      </c>
      <c r="D36" s="3" t="s">
        <v>28</v>
      </c>
      <c r="E36" s="3" t="s">
        <v>29</v>
      </c>
      <c r="F36" s="3">
        <v>220.0</v>
      </c>
      <c r="G36" s="4" t="s">
        <v>17</v>
      </c>
      <c r="H36" s="3">
        <v>1.4135732747353293</v>
      </c>
      <c r="K36" s="9" t="str">
        <f>IFERROR(__xludf.DUMMYFUNCTION("""COMPUTED_VALUE"""),"MT Urban")</f>
        <v>MT Urban</v>
      </c>
      <c r="L36" s="9" t="str">
        <f>IFERROR(__xludf.DUMMYFUNCTION("""COMPUTED_VALUE"""),"Elite")</f>
        <v>Elite</v>
      </c>
      <c r="M36" s="9" t="str">
        <f>IFERROR(__xludf.DUMMYFUNCTION("""COMPUTED_VALUE"""),"Unami")</f>
        <v>Unami</v>
      </c>
      <c r="N36" s="9" t="str">
        <f>IFERROR(__xludf.DUMMYFUNCTION("""COMPUTED_VALUE"""),"Chocolate")</f>
        <v>Chocolate</v>
      </c>
      <c r="O36" s="9" t="str">
        <f>IFERROR(__xludf.DUMMYFUNCTION("""COMPUTED_VALUE"""),"TFA")</f>
        <v>TFA</v>
      </c>
      <c r="P36" s="9">
        <f>IFERROR(__xludf.DUMMYFUNCTION("""COMPUTED_VALUE"""),220.0)</f>
        <v>220</v>
      </c>
      <c r="Q36" s="9" t="str">
        <f>IFERROR(__xludf.DUMMYFUNCTION("""COMPUTED_VALUE"""),"Q3'22")</f>
        <v>Q3'22</v>
      </c>
      <c r="R36" s="9">
        <f>IFERROR(__xludf.DUMMYFUNCTION("""COMPUTED_VALUE"""),1.4135732747353293)</f>
        <v>1.413573275</v>
      </c>
    </row>
    <row r="37" ht="14.25" customHeight="1">
      <c r="A37" s="3" t="s">
        <v>10</v>
      </c>
      <c r="B37" s="3" t="s">
        <v>11</v>
      </c>
      <c r="C37" s="3" t="s">
        <v>12</v>
      </c>
      <c r="D37" s="3" t="s">
        <v>28</v>
      </c>
      <c r="E37" s="3" t="s">
        <v>29</v>
      </c>
      <c r="F37" s="3">
        <v>220.0</v>
      </c>
      <c r="G37" s="4" t="s">
        <v>18</v>
      </c>
      <c r="H37" s="3">
        <v>1.6883297251430156</v>
      </c>
      <c r="K37" s="9" t="str">
        <f>IFERROR(__xludf.DUMMYFUNCTION("""COMPUTED_VALUE"""),"MT Urban")</f>
        <v>MT Urban</v>
      </c>
      <c r="L37" s="9" t="str">
        <f>IFERROR(__xludf.DUMMYFUNCTION("""COMPUTED_VALUE"""),"Elite")</f>
        <v>Elite</v>
      </c>
      <c r="M37" s="9" t="str">
        <f>IFERROR(__xludf.DUMMYFUNCTION("""COMPUTED_VALUE"""),"Unami")</f>
        <v>Unami</v>
      </c>
      <c r="N37" s="9" t="str">
        <f>IFERROR(__xludf.DUMMYFUNCTION("""COMPUTED_VALUE"""),"Chocolate")</f>
        <v>Chocolate</v>
      </c>
      <c r="O37" s="9" t="str">
        <f>IFERROR(__xludf.DUMMYFUNCTION("""COMPUTED_VALUE"""),"TFA")</f>
        <v>TFA</v>
      </c>
      <c r="P37" s="9">
        <f>IFERROR(__xludf.DUMMYFUNCTION("""COMPUTED_VALUE"""),220.0)</f>
        <v>220</v>
      </c>
      <c r="Q37" s="9" t="str">
        <f>IFERROR(__xludf.DUMMYFUNCTION("""COMPUTED_VALUE"""),"Q4'22")</f>
        <v>Q4'22</v>
      </c>
      <c r="R37" s="9">
        <f>IFERROR(__xludf.DUMMYFUNCTION("""COMPUTED_VALUE"""),1.6883297251430156)</f>
        <v>1.688329725</v>
      </c>
    </row>
    <row r="38" ht="14.25" customHeight="1">
      <c r="A38" s="3" t="s">
        <v>10</v>
      </c>
      <c r="B38" s="3" t="s">
        <v>11</v>
      </c>
      <c r="C38" s="3" t="s">
        <v>12</v>
      </c>
      <c r="D38" s="3" t="s">
        <v>28</v>
      </c>
      <c r="E38" s="3" t="s">
        <v>29</v>
      </c>
      <c r="F38" s="3">
        <v>220.0</v>
      </c>
      <c r="G38" s="4" t="s">
        <v>19</v>
      </c>
      <c r="H38" s="3">
        <v>1.6469603385871046</v>
      </c>
      <c r="K38" s="9" t="str">
        <f>IFERROR(__xludf.DUMMYFUNCTION("""COMPUTED_VALUE"""),"MT Urban")</f>
        <v>MT Urban</v>
      </c>
      <c r="L38" s="9" t="str">
        <f>IFERROR(__xludf.DUMMYFUNCTION("""COMPUTED_VALUE"""),"Elite")</f>
        <v>Elite</v>
      </c>
      <c r="M38" s="9" t="str">
        <f>IFERROR(__xludf.DUMMYFUNCTION("""COMPUTED_VALUE"""),"Unami")</f>
        <v>Unami</v>
      </c>
      <c r="N38" s="9" t="str">
        <f>IFERROR(__xludf.DUMMYFUNCTION("""COMPUTED_VALUE"""),"Chocolate")</f>
        <v>Chocolate</v>
      </c>
      <c r="O38" s="9" t="str">
        <f>IFERROR(__xludf.DUMMYFUNCTION("""COMPUTED_VALUE"""),"TFA")</f>
        <v>TFA</v>
      </c>
      <c r="P38" s="9">
        <f>IFERROR(__xludf.DUMMYFUNCTION("""COMPUTED_VALUE"""),220.0)</f>
        <v>220</v>
      </c>
      <c r="Q38" s="9" t="str">
        <f>IFERROR(__xludf.DUMMYFUNCTION("""COMPUTED_VALUE"""),"Q1'23")</f>
        <v>Q1'23</v>
      </c>
      <c r="R38" s="9">
        <f>IFERROR(__xludf.DUMMYFUNCTION("""COMPUTED_VALUE"""),1.6469603385871046)</f>
        <v>1.646960339</v>
      </c>
    </row>
    <row r="39" ht="14.25" customHeight="1">
      <c r="A39" s="3" t="s">
        <v>10</v>
      </c>
      <c r="B39" s="3" t="s">
        <v>11</v>
      </c>
      <c r="C39" s="3" t="s">
        <v>12</v>
      </c>
      <c r="D39" s="3" t="s">
        <v>28</v>
      </c>
      <c r="E39" s="3" t="s">
        <v>29</v>
      </c>
      <c r="F39" s="3">
        <v>220.0</v>
      </c>
      <c r="G39" s="4" t="s">
        <v>20</v>
      </c>
      <c r="H39" s="3">
        <v>1.7122195832661995</v>
      </c>
      <c r="K39" s="9" t="str">
        <f>IFERROR(__xludf.DUMMYFUNCTION("""COMPUTED_VALUE"""),"MT Urban")</f>
        <v>MT Urban</v>
      </c>
      <c r="L39" s="9" t="str">
        <f>IFERROR(__xludf.DUMMYFUNCTION("""COMPUTED_VALUE"""),"Elite")</f>
        <v>Elite</v>
      </c>
      <c r="M39" s="9" t="str">
        <f>IFERROR(__xludf.DUMMYFUNCTION("""COMPUTED_VALUE"""),"Unami")</f>
        <v>Unami</v>
      </c>
      <c r="N39" s="9" t="str">
        <f>IFERROR(__xludf.DUMMYFUNCTION("""COMPUTED_VALUE"""),"Chocolate")</f>
        <v>Chocolate</v>
      </c>
      <c r="O39" s="9" t="str">
        <f>IFERROR(__xludf.DUMMYFUNCTION("""COMPUTED_VALUE"""),"TFA")</f>
        <v>TFA</v>
      </c>
      <c r="P39" s="9">
        <f>IFERROR(__xludf.DUMMYFUNCTION("""COMPUTED_VALUE"""),220.0)</f>
        <v>220</v>
      </c>
      <c r="Q39" s="9" t="str">
        <f>IFERROR(__xludf.DUMMYFUNCTION("""COMPUTED_VALUE"""),"Q2'23")</f>
        <v>Q2'23</v>
      </c>
      <c r="R39" s="9">
        <f>IFERROR(__xludf.DUMMYFUNCTION("""COMPUTED_VALUE"""),1.7122195832661995)</f>
        <v>1.712219583</v>
      </c>
    </row>
    <row r="40" ht="14.25" customHeight="1">
      <c r="A40" s="3" t="s">
        <v>10</v>
      </c>
      <c r="B40" s="3" t="s">
        <v>11</v>
      </c>
      <c r="C40" s="3" t="s">
        <v>12</v>
      </c>
      <c r="D40" s="3" t="s">
        <v>28</v>
      </c>
      <c r="E40" s="3" t="s">
        <v>29</v>
      </c>
      <c r="F40" s="3">
        <v>220.0</v>
      </c>
      <c r="G40" s="4" t="s">
        <v>21</v>
      </c>
      <c r="H40" s="3">
        <v>1.7044040301654888</v>
      </c>
      <c r="K40" s="9" t="str">
        <f>IFERROR(__xludf.DUMMYFUNCTION("""COMPUTED_VALUE"""),"MT Urban")</f>
        <v>MT Urban</v>
      </c>
      <c r="L40" s="9" t="str">
        <f>IFERROR(__xludf.DUMMYFUNCTION("""COMPUTED_VALUE"""),"Elite")</f>
        <v>Elite</v>
      </c>
      <c r="M40" s="9" t="str">
        <f>IFERROR(__xludf.DUMMYFUNCTION("""COMPUTED_VALUE"""),"Unami")</f>
        <v>Unami</v>
      </c>
      <c r="N40" s="9" t="str">
        <f>IFERROR(__xludf.DUMMYFUNCTION("""COMPUTED_VALUE"""),"Chocolate")</f>
        <v>Chocolate</v>
      </c>
      <c r="O40" s="9" t="str">
        <f>IFERROR(__xludf.DUMMYFUNCTION("""COMPUTED_VALUE"""),"TFA")</f>
        <v>TFA</v>
      </c>
      <c r="P40" s="9">
        <f>IFERROR(__xludf.DUMMYFUNCTION("""COMPUTED_VALUE"""),220.0)</f>
        <v>220</v>
      </c>
      <c r="Q40" s="9" t="str">
        <f>IFERROR(__xludf.DUMMYFUNCTION("""COMPUTED_VALUE"""),"Q3'23")</f>
        <v>Q3'23</v>
      </c>
      <c r="R40" s="9">
        <f>IFERROR(__xludf.DUMMYFUNCTION("""COMPUTED_VALUE"""),1.7044040301654888)</f>
        <v>1.70440403</v>
      </c>
    </row>
    <row r="41" ht="14.25" customHeight="1">
      <c r="A41" s="3" t="s">
        <v>10</v>
      </c>
      <c r="B41" s="3" t="s">
        <v>11</v>
      </c>
      <c r="C41" s="3" t="s">
        <v>12</v>
      </c>
      <c r="D41" s="3" t="s">
        <v>28</v>
      </c>
      <c r="E41" s="3" t="s">
        <v>29</v>
      </c>
      <c r="F41" s="3">
        <v>220.0</v>
      </c>
      <c r="G41" s="4" t="s">
        <v>22</v>
      </c>
      <c r="H41" s="3">
        <v>1.5381322419677605</v>
      </c>
      <c r="K41" s="9" t="str">
        <f>IFERROR(__xludf.DUMMYFUNCTION("""COMPUTED_VALUE"""),"MT Urban")</f>
        <v>MT Urban</v>
      </c>
      <c r="L41" s="9" t="str">
        <f>IFERROR(__xludf.DUMMYFUNCTION("""COMPUTED_VALUE"""),"Elite")</f>
        <v>Elite</v>
      </c>
      <c r="M41" s="9" t="str">
        <f>IFERROR(__xludf.DUMMYFUNCTION("""COMPUTED_VALUE"""),"Unami")</f>
        <v>Unami</v>
      </c>
      <c r="N41" s="9" t="str">
        <f>IFERROR(__xludf.DUMMYFUNCTION("""COMPUTED_VALUE"""),"Chocolate")</f>
        <v>Chocolate</v>
      </c>
      <c r="O41" s="9" t="str">
        <f>IFERROR(__xludf.DUMMYFUNCTION("""COMPUTED_VALUE"""),"TFA")</f>
        <v>TFA</v>
      </c>
      <c r="P41" s="9">
        <f>IFERROR(__xludf.DUMMYFUNCTION("""COMPUTED_VALUE"""),220.0)</f>
        <v>220</v>
      </c>
      <c r="Q41" s="9" t="str">
        <f>IFERROR(__xludf.DUMMYFUNCTION("""COMPUTED_VALUE"""),"Q4'23")</f>
        <v>Q4'23</v>
      </c>
      <c r="R41" s="9">
        <f>IFERROR(__xludf.DUMMYFUNCTION("""COMPUTED_VALUE"""),1.5381322419677605)</f>
        <v>1.538132242</v>
      </c>
    </row>
    <row r="42" ht="14.25" customHeight="1">
      <c r="A42" s="3" t="s">
        <v>10</v>
      </c>
      <c r="B42" s="3" t="s">
        <v>11</v>
      </c>
      <c r="C42" s="3" t="s">
        <v>12</v>
      </c>
      <c r="D42" s="3" t="s">
        <v>30</v>
      </c>
      <c r="E42" s="3" t="s">
        <v>29</v>
      </c>
      <c r="F42" s="3">
        <v>220.0</v>
      </c>
      <c r="G42" s="4" t="s">
        <v>15</v>
      </c>
      <c r="H42" s="3">
        <v>4.447906011556349</v>
      </c>
      <c r="K42" s="9" t="str">
        <f>IFERROR(__xludf.DUMMYFUNCTION("""COMPUTED_VALUE"""),"MT Urban")</f>
        <v>MT Urban</v>
      </c>
      <c r="L42" s="9" t="str">
        <f>IFERROR(__xludf.DUMMYFUNCTION("""COMPUTED_VALUE"""),"Elite")</f>
        <v>Elite</v>
      </c>
      <c r="M42" s="9" t="str">
        <f>IFERROR(__xludf.DUMMYFUNCTION("""COMPUTED_VALUE"""),"Unami")</f>
        <v>Unami</v>
      </c>
      <c r="N42" s="9" t="str">
        <f>IFERROR(__xludf.DUMMYFUNCTION("""COMPUTED_VALUE"""),"Plain")</f>
        <v>Plain</v>
      </c>
      <c r="O42" s="9" t="str">
        <f>IFERROR(__xludf.DUMMYFUNCTION("""COMPUTED_VALUE"""),"TFA")</f>
        <v>TFA</v>
      </c>
      <c r="P42" s="9">
        <f>IFERROR(__xludf.DUMMYFUNCTION("""COMPUTED_VALUE"""),220.0)</f>
        <v>220</v>
      </c>
      <c r="Q42" s="9" t="str">
        <f>IFERROR(__xludf.DUMMYFUNCTION("""COMPUTED_VALUE"""),"Q1'22")</f>
        <v>Q1'22</v>
      </c>
      <c r="R42" s="9">
        <f>IFERROR(__xludf.DUMMYFUNCTION("""COMPUTED_VALUE"""),4.447906011556349)</f>
        <v>4.447906012</v>
      </c>
    </row>
    <row r="43" ht="14.25" customHeight="1">
      <c r="A43" s="3" t="s">
        <v>10</v>
      </c>
      <c r="B43" s="3" t="s">
        <v>11</v>
      </c>
      <c r="C43" s="3" t="s">
        <v>12</v>
      </c>
      <c r="D43" s="3" t="s">
        <v>30</v>
      </c>
      <c r="E43" s="3" t="s">
        <v>29</v>
      </c>
      <c r="F43" s="3">
        <v>220.0</v>
      </c>
      <c r="G43" s="4" t="s">
        <v>16</v>
      </c>
      <c r="H43" s="3">
        <v>4.201481346390523</v>
      </c>
      <c r="K43" s="9" t="str">
        <f>IFERROR(__xludf.DUMMYFUNCTION("""COMPUTED_VALUE"""),"MT Urban")</f>
        <v>MT Urban</v>
      </c>
      <c r="L43" s="9" t="str">
        <f>IFERROR(__xludf.DUMMYFUNCTION("""COMPUTED_VALUE"""),"Elite")</f>
        <v>Elite</v>
      </c>
      <c r="M43" s="9" t="str">
        <f>IFERROR(__xludf.DUMMYFUNCTION("""COMPUTED_VALUE"""),"Unami")</f>
        <v>Unami</v>
      </c>
      <c r="N43" s="9" t="str">
        <f>IFERROR(__xludf.DUMMYFUNCTION("""COMPUTED_VALUE"""),"Plain")</f>
        <v>Plain</v>
      </c>
      <c r="O43" s="9" t="str">
        <f>IFERROR(__xludf.DUMMYFUNCTION("""COMPUTED_VALUE"""),"TFA")</f>
        <v>TFA</v>
      </c>
      <c r="P43" s="9">
        <f>IFERROR(__xludf.DUMMYFUNCTION("""COMPUTED_VALUE"""),220.0)</f>
        <v>220</v>
      </c>
      <c r="Q43" s="9" t="str">
        <f>IFERROR(__xludf.DUMMYFUNCTION("""COMPUTED_VALUE"""),"Q2'22")</f>
        <v>Q2'22</v>
      </c>
      <c r="R43" s="9">
        <f>IFERROR(__xludf.DUMMYFUNCTION("""COMPUTED_VALUE"""),4.201481346390523)</f>
        <v>4.201481346</v>
      </c>
    </row>
    <row r="44" ht="14.25" customHeight="1">
      <c r="A44" s="3" t="s">
        <v>10</v>
      </c>
      <c r="B44" s="3" t="s">
        <v>11</v>
      </c>
      <c r="C44" s="3" t="s">
        <v>12</v>
      </c>
      <c r="D44" s="3" t="s">
        <v>30</v>
      </c>
      <c r="E44" s="3" t="s">
        <v>29</v>
      </c>
      <c r="F44" s="3">
        <v>220.0</v>
      </c>
      <c r="G44" s="4" t="s">
        <v>17</v>
      </c>
      <c r="H44" s="3">
        <v>4.049888640867243</v>
      </c>
      <c r="K44" s="9" t="str">
        <f>IFERROR(__xludf.DUMMYFUNCTION("""COMPUTED_VALUE"""),"MT Urban")</f>
        <v>MT Urban</v>
      </c>
      <c r="L44" s="9" t="str">
        <f>IFERROR(__xludf.DUMMYFUNCTION("""COMPUTED_VALUE"""),"Elite")</f>
        <v>Elite</v>
      </c>
      <c r="M44" s="9" t="str">
        <f>IFERROR(__xludf.DUMMYFUNCTION("""COMPUTED_VALUE"""),"Unami")</f>
        <v>Unami</v>
      </c>
      <c r="N44" s="9" t="str">
        <f>IFERROR(__xludf.DUMMYFUNCTION("""COMPUTED_VALUE"""),"Plain")</f>
        <v>Plain</v>
      </c>
      <c r="O44" s="9" t="str">
        <f>IFERROR(__xludf.DUMMYFUNCTION("""COMPUTED_VALUE"""),"TFA")</f>
        <v>TFA</v>
      </c>
      <c r="P44" s="9">
        <f>IFERROR(__xludf.DUMMYFUNCTION("""COMPUTED_VALUE"""),220.0)</f>
        <v>220</v>
      </c>
      <c r="Q44" s="9" t="str">
        <f>IFERROR(__xludf.DUMMYFUNCTION("""COMPUTED_VALUE"""),"Q3'22")</f>
        <v>Q3'22</v>
      </c>
      <c r="R44" s="9">
        <f>IFERROR(__xludf.DUMMYFUNCTION("""COMPUTED_VALUE"""),4.049888640867243)</f>
        <v>4.049888641</v>
      </c>
    </row>
    <row r="45" ht="14.25" customHeight="1">
      <c r="A45" s="3" t="s">
        <v>10</v>
      </c>
      <c r="B45" s="3" t="s">
        <v>11</v>
      </c>
      <c r="C45" s="3" t="s">
        <v>12</v>
      </c>
      <c r="D45" s="3" t="s">
        <v>30</v>
      </c>
      <c r="E45" s="3" t="s">
        <v>29</v>
      </c>
      <c r="F45" s="3">
        <v>220.0</v>
      </c>
      <c r="G45" s="4" t="s">
        <v>18</v>
      </c>
      <c r="H45" s="3">
        <v>4.596797116708539</v>
      </c>
      <c r="K45" s="9" t="str">
        <f>IFERROR(__xludf.DUMMYFUNCTION("""COMPUTED_VALUE"""),"MT Urban")</f>
        <v>MT Urban</v>
      </c>
      <c r="L45" s="9" t="str">
        <f>IFERROR(__xludf.DUMMYFUNCTION("""COMPUTED_VALUE"""),"Elite")</f>
        <v>Elite</v>
      </c>
      <c r="M45" s="9" t="str">
        <f>IFERROR(__xludf.DUMMYFUNCTION("""COMPUTED_VALUE"""),"Unami")</f>
        <v>Unami</v>
      </c>
      <c r="N45" s="9" t="str">
        <f>IFERROR(__xludf.DUMMYFUNCTION("""COMPUTED_VALUE"""),"Plain")</f>
        <v>Plain</v>
      </c>
      <c r="O45" s="9" t="str">
        <f>IFERROR(__xludf.DUMMYFUNCTION("""COMPUTED_VALUE"""),"TFA")</f>
        <v>TFA</v>
      </c>
      <c r="P45" s="9">
        <f>IFERROR(__xludf.DUMMYFUNCTION("""COMPUTED_VALUE"""),220.0)</f>
        <v>220</v>
      </c>
      <c r="Q45" s="9" t="str">
        <f>IFERROR(__xludf.DUMMYFUNCTION("""COMPUTED_VALUE"""),"Q4'22")</f>
        <v>Q4'22</v>
      </c>
      <c r="R45" s="9">
        <f>IFERROR(__xludf.DUMMYFUNCTION("""COMPUTED_VALUE"""),4.596797116708539)</f>
        <v>4.596797117</v>
      </c>
    </row>
    <row r="46" ht="14.25" customHeight="1">
      <c r="A46" s="3" t="s">
        <v>10</v>
      </c>
      <c r="B46" s="3" t="s">
        <v>11</v>
      </c>
      <c r="C46" s="3" t="s">
        <v>12</v>
      </c>
      <c r="D46" s="3" t="s">
        <v>30</v>
      </c>
      <c r="E46" s="3" t="s">
        <v>29</v>
      </c>
      <c r="F46" s="3">
        <v>220.0</v>
      </c>
      <c r="G46" s="4" t="s">
        <v>19</v>
      </c>
      <c r="H46" s="3">
        <v>4.702652263852253</v>
      </c>
      <c r="K46" s="9" t="str">
        <f>IFERROR(__xludf.DUMMYFUNCTION("""COMPUTED_VALUE"""),"MT Urban")</f>
        <v>MT Urban</v>
      </c>
      <c r="L46" s="9" t="str">
        <f>IFERROR(__xludf.DUMMYFUNCTION("""COMPUTED_VALUE"""),"Elite")</f>
        <v>Elite</v>
      </c>
      <c r="M46" s="9" t="str">
        <f>IFERROR(__xludf.DUMMYFUNCTION("""COMPUTED_VALUE"""),"Unami")</f>
        <v>Unami</v>
      </c>
      <c r="N46" s="9" t="str">
        <f>IFERROR(__xludf.DUMMYFUNCTION("""COMPUTED_VALUE"""),"Plain")</f>
        <v>Plain</v>
      </c>
      <c r="O46" s="9" t="str">
        <f>IFERROR(__xludf.DUMMYFUNCTION("""COMPUTED_VALUE"""),"TFA")</f>
        <v>TFA</v>
      </c>
      <c r="P46" s="9">
        <f>IFERROR(__xludf.DUMMYFUNCTION("""COMPUTED_VALUE"""),220.0)</f>
        <v>220</v>
      </c>
      <c r="Q46" s="9" t="str">
        <f>IFERROR(__xludf.DUMMYFUNCTION("""COMPUTED_VALUE"""),"Q1'23")</f>
        <v>Q1'23</v>
      </c>
      <c r="R46" s="9">
        <f>IFERROR(__xludf.DUMMYFUNCTION("""COMPUTED_VALUE"""),4.702652263852253)</f>
        <v>4.702652264</v>
      </c>
    </row>
    <row r="47" ht="14.25" customHeight="1">
      <c r="A47" s="3" t="s">
        <v>10</v>
      </c>
      <c r="B47" s="3" t="s">
        <v>11</v>
      </c>
      <c r="C47" s="3" t="s">
        <v>12</v>
      </c>
      <c r="D47" s="3" t="s">
        <v>30</v>
      </c>
      <c r="E47" s="3" t="s">
        <v>29</v>
      </c>
      <c r="F47" s="3">
        <v>220.0</v>
      </c>
      <c r="G47" s="4" t="s">
        <v>20</v>
      </c>
      <c r="H47" s="3">
        <v>4.674019129478146</v>
      </c>
      <c r="K47" s="9" t="str">
        <f>IFERROR(__xludf.DUMMYFUNCTION("""COMPUTED_VALUE"""),"MT Urban")</f>
        <v>MT Urban</v>
      </c>
      <c r="L47" s="9" t="str">
        <f>IFERROR(__xludf.DUMMYFUNCTION("""COMPUTED_VALUE"""),"Elite")</f>
        <v>Elite</v>
      </c>
      <c r="M47" s="9" t="str">
        <f>IFERROR(__xludf.DUMMYFUNCTION("""COMPUTED_VALUE"""),"Unami")</f>
        <v>Unami</v>
      </c>
      <c r="N47" s="9" t="str">
        <f>IFERROR(__xludf.DUMMYFUNCTION("""COMPUTED_VALUE"""),"Plain")</f>
        <v>Plain</v>
      </c>
      <c r="O47" s="9" t="str">
        <f>IFERROR(__xludf.DUMMYFUNCTION("""COMPUTED_VALUE"""),"TFA")</f>
        <v>TFA</v>
      </c>
      <c r="P47" s="9">
        <f>IFERROR(__xludf.DUMMYFUNCTION("""COMPUTED_VALUE"""),220.0)</f>
        <v>220</v>
      </c>
      <c r="Q47" s="9" t="str">
        <f>IFERROR(__xludf.DUMMYFUNCTION("""COMPUTED_VALUE"""),"Q2'23")</f>
        <v>Q2'23</v>
      </c>
      <c r="R47" s="9">
        <f>IFERROR(__xludf.DUMMYFUNCTION("""COMPUTED_VALUE"""),4.674019129478146)</f>
        <v>4.674019129</v>
      </c>
    </row>
    <row r="48" ht="14.25" customHeight="1">
      <c r="A48" s="3" t="s">
        <v>10</v>
      </c>
      <c r="B48" s="3" t="s">
        <v>11</v>
      </c>
      <c r="C48" s="3" t="s">
        <v>12</v>
      </c>
      <c r="D48" s="3" t="s">
        <v>30</v>
      </c>
      <c r="E48" s="3" t="s">
        <v>29</v>
      </c>
      <c r="F48" s="3">
        <v>220.0</v>
      </c>
      <c r="G48" s="4" t="s">
        <v>21</v>
      </c>
      <c r="H48" s="3">
        <v>4.7328500336643815</v>
      </c>
      <c r="K48" s="9" t="str">
        <f>IFERROR(__xludf.DUMMYFUNCTION("""COMPUTED_VALUE"""),"MT Urban")</f>
        <v>MT Urban</v>
      </c>
      <c r="L48" s="9" t="str">
        <f>IFERROR(__xludf.DUMMYFUNCTION("""COMPUTED_VALUE"""),"Elite")</f>
        <v>Elite</v>
      </c>
      <c r="M48" s="9" t="str">
        <f>IFERROR(__xludf.DUMMYFUNCTION("""COMPUTED_VALUE"""),"Unami")</f>
        <v>Unami</v>
      </c>
      <c r="N48" s="9" t="str">
        <f>IFERROR(__xludf.DUMMYFUNCTION("""COMPUTED_VALUE"""),"Plain")</f>
        <v>Plain</v>
      </c>
      <c r="O48" s="9" t="str">
        <f>IFERROR(__xludf.DUMMYFUNCTION("""COMPUTED_VALUE"""),"TFA")</f>
        <v>TFA</v>
      </c>
      <c r="P48" s="9">
        <f>IFERROR(__xludf.DUMMYFUNCTION("""COMPUTED_VALUE"""),220.0)</f>
        <v>220</v>
      </c>
      <c r="Q48" s="9" t="str">
        <f>IFERROR(__xludf.DUMMYFUNCTION("""COMPUTED_VALUE"""),"Q3'23")</f>
        <v>Q3'23</v>
      </c>
      <c r="R48" s="9">
        <f>IFERROR(__xludf.DUMMYFUNCTION("""COMPUTED_VALUE"""),4.7328500336643815)</f>
        <v>4.732850034</v>
      </c>
    </row>
    <row r="49" ht="14.25" customHeight="1">
      <c r="A49" s="3" t="s">
        <v>10</v>
      </c>
      <c r="B49" s="3" t="s">
        <v>11</v>
      </c>
      <c r="C49" s="3" t="s">
        <v>12</v>
      </c>
      <c r="D49" s="3" t="s">
        <v>30</v>
      </c>
      <c r="E49" s="3" t="s">
        <v>29</v>
      </c>
      <c r="F49" s="3">
        <v>220.0</v>
      </c>
      <c r="G49" s="4" t="s">
        <v>22</v>
      </c>
      <c r="H49" s="3">
        <v>4.6395940577617845</v>
      </c>
      <c r="K49" s="9" t="str">
        <f>IFERROR(__xludf.DUMMYFUNCTION("""COMPUTED_VALUE"""),"MT Urban")</f>
        <v>MT Urban</v>
      </c>
      <c r="L49" s="9" t="str">
        <f>IFERROR(__xludf.DUMMYFUNCTION("""COMPUTED_VALUE"""),"Elite")</f>
        <v>Elite</v>
      </c>
      <c r="M49" s="9" t="str">
        <f>IFERROR(__xludf.DUMMYFUNCTION("""COMPUTED_VALUE"""),"Unami")</f>
        <v>Unami</v>
      </c>
      <c r="N49" s="9" t="str">
        <f>IFERROR(__xludf.DUMMYFUNCTION("""COMPUTED_VALUE"""),"Plain")</f>
        <v>Plain</v>
      </c>
      <c r="O49" s="9" t="str">
        <f>IFERROR(__xludf.DUMMYFUNCTION("""COMPUTED_VALUE"""),"TFA")</f>
        <v>TFA</v>
      </c>
      <c r="P49" s="9">
        <f>IFERROR(__xludf.DUMMYFUNCTION("""COMPUTED_VALUE"""),220.0)</f>
        <v>220</v>
      </c>
      <c r="Q49" s="9" t="str">
        <f>IFERROR(__xludf.DUMMYFUNCTION("""COMPUTED_VALUE"""),"Q4'23")</f>
        <v>Q4'23</v>
      </c>
      <c r="R49" s="9">
        <f>IFERROR(__xludf.DUMMYFUNCTION("""COMPUTED_VALUE"""),4.6395940577617845)</f>
        <v>4.639594058</v>
      </c>
    </row>
    <row r="50" ht="14.25" customHeight="1">
      <c r="A50" s="3" t="s">
        <v>10</v>
      </c>
      <c r="B50" s="3" t="s">
        <v>11</v>
      </c>
      <c r="C50" s="3" t="s">
        <v>12</v>
      </c>
      <c r="D50" s="3" t="s">
        <v>31</v>
      </c>
      <c r="E50" s="3" t="s">
        <v>29</v>
      </c>
      <c r="F50" s="3">
        <v>220.0</v>
      </c>
      <c r="G50" s="4" t="s">
        <v>15</v>
      </c>
      <c r="H50" s="3">
        <v>0.6832274470734231</v>
      </c>
      <c r="K50" s="9" t="str">
        <f>IFERROR(__xludf.DUMMYFUNCTION("""COMPUTED_VALUE"""),"MT Urban")</f>
        <v>MT Urban</v>
      </c>
      <c r="L50" s="9" t="str">
        <f>IFERROR(__xludf.DUMMYFUNCTION("""COMPUTED_VALUE"""),"Elite")</f>
        <v>Elite</v>
      </c>
      <c r="M50" s="9" t="str">
        <f>IFERROR(__xludf.DUMMYFUNCTION("""COMPUTED_VALUE"""),"Unami")</f>
        <v>Unami</v>
      </c>
      <c r="N50" s="9" t="str">
        <f>IFERROR(__xludf.DUMMYFUNCTION("""COMPUTED_VALUE"""),"Strawberry")</f>
        <v>Strawberry</v>
      </c>
      <c r="O50" s="9" t="str">
        <f>IFERROR(__xludf.DUMMYFUNCTION("""COMPUTED_VALUE"""),"TFA")</f>
        <v>TFA</v>
      </c>
      <c r="P50" s="9">
        <f>IFERROR(__xludf.DUMMYFUNCTION("""COMPUTED_VALUE"""),220.0)</f>
        <v>220</v>
      </c>
      <c r="Q50" s="9" t="str">
        <f>IFERROR(__xludf.DUMMYFUNCTION("""COMPUTED_VALUE"""),"Q1'22")</f>
        <v>Q1'22</v>
      </c>
      <c r="R50" s="9">
        <f>IFERROR(__xludf.DUMMYFUNCTION("""COMPUTED_VALUE"""),0.6832274470734231)</f>
        <v>0.6832274471</v>
      </c>
    </row>
    <row r="51" ht="14.25" customHeight="1">
      <c r="A51" s="3" t="s">
        <v>10</v>
      </c>
      <c r="B51" s="3" t="s">
        <v>11</v>
      </c>
      <c r="C51" s="3" t="s">
        <v>12</v>
      </c>
      <c r="D51" s="3" t="s">
        <v>31</v>
      </c>
      <c r="E51" s="3" t="s">
        <v>29</v>
      </c>
      <c r="F51" s="3">
        <v>220.0</v>
      </c>
      <c r="G51" s="4" t="s">
        <v>16</v>
      </c>
      <c r="H51" s="3">
        <v>0.7389830290082046</v>
      </c>
      <c r="K51" s="9" t="str">
        <f>IFERROR(__xludf.DUMMYFUNCTION("""COMPUTED_VALUE"""),"MT Urban")</f>
        <v>MT Urban</v>
      </c>
      <c r="L51" s="9" t="str">
        <f>IFERROR(__xludf.DUMMYFUNCTION("""COMPUTED_VALUE"""),"Elite")</f>
        <v>Elite</v>
      </c>
      <c r="M51" s="9" t="str">
        <f>IFERROR(__xludf.DUMMYFUNCTION("""COMPUTED_VALUE"""),"Unami")</f>
        <v>Unami</v>
      </c>
      <c r="N51" s="9" t="str">
        <f>IFERROR(__xludf.DUMMYFUNCTION("""COMPUTED_VALUE"""),"Strawberry")</f>
        <v>Strawberry</v>
      </c>
      <c r="O51" s="9" t="str">
        <f>IFERROR(__xludf.DUMMYFUNCTION("""COMPUTED_VALUE"""),"TFA")</f>
        <v>TFA</v>
      </c>
      <c r="P51" s="9">
        <f>IFERROR(__xludf.DUMMYFUNCTION("""COMPUTED_VALUE"""),220.0)</f>
        <v>220</v>
      </c>
      <c r="Q51" s="9" t="str">
        <f>IFERROR(__xludf.DUMMYFUNCTION("""COMPUTED_VALUE"""),"Q2'22")</f>
        <v>Q2'22</v>
      </c>
      <c r="R51" s="9">
        <f>IFERROR(__xludf.DUMMYFUNCTION("""COMPUTED_VALUE"""),0.7389830290082046)</f>
        <v>0.738983029</v>
      </c>
    </row>
    <row r="52" ht="14.25" customHeight="1">
      <c r="A52" s="3" t="s">
        <v>10</v>
      </c>
      <c r="B52" s="3" t="s">
        <v>11</v>
      </c>
      <c r="C52" s="3" t="s">
        <v>12</v>
      </c>
      <c r="D52" s="3" t="s">
        <v>31</v>
      </c>
      <c r="E52" s="3" t="s">
        <v>29</v>
      </c>
      <c r="F52" s="3">
        <v>220.0</v>
      </c>
      <c r="G52" s="4" t="s">
        <v>17</v>
      </c>
      <c r="H52" s="3">
        <v>0.8135215680992668</v>
      </c>
      <c r="K52" s="9" t="str">
        <f>IFERROR(__xludf.DUMMYFUNCTION("""COMPUTED_VALUE"""),"MT Urban")</f>
        <v>MT Urban</v>
      </c>
      <c r="L52" s="9" t="str">
        <f>IFERROR(__xludf.DUMMYFUNCTION("""COMPUTED_VALUE"""),"Elite")</f>
        <v>Elite</v>
      </c>
      <c r="M52" s="9" t="str">
        <f>IFERROR(__xludf.DUMMYFUNCTION("""COMPUTED_VALUE"""),"Unami")</f>
        <v>Unami</v>
      </c>
      <c r="N52" s="9" t="str">
        <f>IFERROR(__xludf.DUMMYFUNCTION("""COMPUTED_VALUE"""),"Strawberry")</f>
        <v>Strawberry</v>
      </c>
      <c r="O52" s="9" t="str">
        <f>IFERROR(__xludf.DUMMYFUNCTION("""COMPUTED_VALUE"""),"TFA")</f>
        <v>TFA</v>
      </c>
      <c r="P52" s="9">
        <f>IFERROR(__xludf.DUMMYFUNCTION("""COMPUTED_VALUE"""),220.0)</f>
        <v>220</v>
      </c>
      <c r="Q52" s="9" t="str">
        <f>IFERROR(__xludf.DUMMYFUNCTION("""COMPUTED_VALUE"""),"Q3'22")</f>
        <v>Q3'22</v>
      </c>
      <c r="R52" s="9">
        <f>IFERROR(__xludf.DUMMYFUNCTION("""COMPUTED_VALUE"""),0.8135215680992668)</f>
        <v>0.8135215681</v>
      </c>
    </row>
    <row r="53" ht="14.25" customHeight="1">
      <c r="A53" s="3" t="s">
        <v>10</v>
      </c>
      <c r="B53" s="3" t="s">
        <v>11</v>
      </c>
      <c r="C53" s="3" t="s">
        <v>12</v>
      </c>
      <c r="D53" s="3" t="s">
        <v>31</v>
      </c>
      <c r="E53" s="3" t="s">
        <v>29</v>
      </c>
      <c r="F53" s="3">
        <v>220.0</v>
      </c>
      <c r="G53" s="4" t="s">
        <v>18</v>
      </c>
      <c r="H53" s="3">
        <v>0.9176715221378147</v>
      </c>
      <c r="K53" s="9" t="str">
        <f>IFERROR(__xludf.DUMMYFUNCTION("""COMPUTED_VALUE"""),"MT Urban")</f>
        <v>MT Urban</v>
      </c>
      <c r="L53" s="9" t="str">
        <f>IFERROR(__xludf.DUMMYFUNCTION("""COMPUTED_VALUE"""),"Elite")</f>
        <v>Elite</v>
      </c>
      <c r="M53" s="9" t="str">
        <f>IFERROR(__xludf.DUMMYFUNCTION("""COMPUTED_VALUE"""),"Unami")</f>
        <v>Unami</v>
      </c>
      <c r="N53" s="9" t="str">
        <f>IFERROR(__xludf.DUMMYFUNCTION("""COMPUTED_VALUE"""),"Strawberry")</f>
        <v>Strawberry</v>
      </c>
      <c r="O53" s="9" t="str">
        <f>IFERROR(__xludf.DUMMYFUNCTION("""COMPUTED_VALUE"""),"TFA")</f>
        <v>TFA</v>
      </c>
      <c r="P53" s="9">
        <f>IFERROR(__xludf.DUMMYFUNCTION("""COMPUTED_VALUE"""),220.0)</f>
        <v>220</v>
      </c>
      <c r="Q53" s="9" t="str">
        <f>IFERROR(__xludf.DUMMYFUNCTION("""COMPUTED_VALUE"""),"Q4'22")</f>
        <v>Q4'22</v>
      </c>
      <c r="R53" s="9">
        <f>IFERROR(__xludf.DUMMYFUNCTION("""COMPUTED_VALUE"""),0.9176715221378147)</f>
        <v>0.9176715221</v>
      </c>
    </row>
    <row r="54" ht="14.25" customHeight="1">
      <c r="A54" s="3" t="s">
        <v>10</v>
      </c>
      <c r="B54" s="3" t="s">
        <v>11</v>
      </c>
      <c r="C54" s="3" t="s">
        <v>12</v>
      </c>
      <c r="D54" s="3" t="s">
        <v>31</v>
      </c>
      <c r="E54" s="3" t="s">
        <v>29</v>
      </c>
      <c r="F54" s="3">
        <v>220.0</v>
      </c>
      <c r="G54" s="4" t="s">
        <v>19</v>
      </c>
      <c r="H54" s="3">
        <v>0.9613404072944152</v>
      </c>
      <c r="K54" s="9" t="str">
        <f>IFERROR(__xludf.DUMMYFUNCTION("""COMPUTED_VALUE"""),"MT Urban")</f>
        <v>MT Urban</v>
      </c>
      <c r="L54" s="9" t="str">
        <f>IFERROR(__xludf.DUMMYFUNCTION("""COMPUTED_VALUE"""),"Elite")</f>
        <v>Elite</v>
      </c>
      <c r="M54" s="9" t="str">
        <f>IFERROR(__xludf.DUMMYFUNCTION("""COMPUTED_VALUE"""),"Unami")</f>
        <v>Unami</v>
      </c>
      <c r="N54" s="9" t="str">
        <f>IFERROR(__xludf.DUMMYFUNCTION("""COMPUTED_VALUE"""),"Strawberry")</f>
        <v>Strawberry</v>
      </c>
      <c r="O54" s="9" t="str">
        <f>IFERROR(__xludf.DUMMYFUNCTION("""COMPUTED_VALUE"""),"TFA")</f>
        <v>TFA</v>
      </c>
      <c r="P54" s="9">
        <f>IFERROR(__xludf.DUMMYFUNCTION("""COMPUTED_VALUE"""),220.0)</f>
        <v>220</v>
      </c>
      <c r="Q54" s="9" t="str">
        <f>IFERROR(__xludf.DUMMYFUNCTION("""COMPUTED_VALUE"""),"Q1'23")</f>
        <v>Q1'23</v>
      </c>
      <c r="R54" s="9">
        <f>IFERROR(__xludf.DUMMYFUNCTION("""COMPUTED_VALUE"""),0.9613404072944152)</f>
        <v>0.9613404073</v>
      </c>
    </row>
    <row r="55" ht="14.25" customHeight="1">
      <c r="A55" s="3" t="s">
        <v>10</v>
      </c>
      <c r="B55" s="3" t="s">
        <v>11</v>
      </c>
      <c r="C55" s="3" t="s">
        <v>12</v>
      </c>
      <c r="D55" s="3" t="s">
        <v>31</v>
      </c>
      <c r="E55" s="3" t="s">
        <v>29</v>
      </c>
      <c r="F55" s="3">
        <v>220.0</v>
      </c>
      <c r="G55" s="4" t="s">
        <v>20</v>
      </c>
      <c r="H55" s="3">
        <v>0.9986055153737174</v>
      </c>
      <c r="K55" s="9" t="str">
        <f>IFERROR(__xludf.DUMMYFUNCTION("""COMPUTED_VALUE"""),"MT Urban")</f>
        <v>MT Urban</v>
      </c>
      <c r="L55" s="9" t="str">
        <f>IFERROR(__xludf.DUMMYFUNCTION("""COMPUTED_VALUE"""),"Elite")</f>
        <v>Elite</v>
      </c>
      <c r="M55" s="9" t="str">
        <f>IFERROR(__xludf.DUMMYFUNCTION("""COMPUTED_VALUE"""),"Unami")</f>
        <v>Unami</v>
      </c>
      <c r="N55" s="9" t="str">
        <f>IFERROR(__xludf.DUMMYFUNCTION("""COMPUTED_VALUE"""),"Strawberry")</f>
        <v>Strawberry</v>
      </c>
      <c r="O55" s="9" t="str">
        <f>IFERROR(__xludf.DUMMYFUNCTION("""COMPUTED_VALUE"""),"TFA")</f>
        <v>TFA</v>
      </c>
      <c r="P55" s="9">
        <f>IFERROR(__xludf.DUMMYFUNCTION("""COMPUTED_VALUE"""),220.0)</f>
        <v>220</v>
      </c>
      <c r="Q55" s="9" t="str">
        <f>IFERROR(__xludf.DUMMYFUNCTION("""COMPUTED_VALUE"""),"Q2'23")</f>
        <v>Q2'23</v>
      </c>
      <c r="R55" s="9">
        <f>IFERROR(__xludf.DUMMYFUNCTION("""COMPUTED_VALUE"""),0.9986055153737174)</f>
        <v>0.9986055154</v>
      </c>
    </row>
    <row r="56" ht="14.25" customHeight="1">
      <c r="A56" s="3" t="s">
        <v>10</v>
      </c>
      <c r="B56" s="3" t="s">
        <v>11</v>
      </c>
      <c r="C56" s="3" t="s">
        <v>12</v>
      </c>
      <c r="D56" s="3" t="s">
        <v>31</v>
      </c>
      <c r="E56" s="3" t="s">
        <v>29</v>
      </c>
      <c r="F56" s="3">
        <v>220.0</v>
      </c>
      <c r="G56" s="4" t="s">
        <v>21</v>
      </c>
      <c r="H56" s="3">
        <v>0.9560456791619771</v>
      </c>
      <c r="K56" s="9" t="str">
        <f>IFERROR(__xludf.DUMMYFUNCTION("""COMPUTED_VALUE"""),"MT Urban")</f>
        <v>MT Urban</v>
      </c>
      <c r="L56" s="9" t="str">
        <f>IFERROR(__xludf.DUMMYFUNCTION("""COMPUTED_VALUE"""),"Elite")</f>
        <v>Elite</v>
      </c>
      <c r="M56" s="9" t="str">
        <f>IFERROR(__xludf.DUMMYFUNCTION("""COMPUTED_VALUE"""),"Unami")</f>
        <v>Unami</v>
      </c>
      <c r="N56" s="9" t="str">
        <f>IFERROR(__xludf.DUMMYFUNCTION("""COMPUTED_VALUE"""),"Strawberry")</f>
        <v>Strawberry</v>
      </c>
      <c r="O56" s="9" t="str">
        <f>IFERROR(__xludf.DUMMYFUNCTION("""COMPUTED_VALUE"""),"TFA")</f>
        <v>TFA</v>
      </c>
      <c r="P56" s="9">
        <f>IFERROR(__xludf.DUMMYFUNCTION("""COMPUTED_VALUE"""),220.0)</f>
        <v>220</v>
      </c>
      <c r="Q56" s="9" t="str">
        <f>IFERROR(__xludf.DUMMYFUNCTION("""COMPUTED_VALUE"""),"Q3'23")</f>
        <v>Q3'23</v>
      </c>
      <c r="R56" s="9">
        <f>IFERROR(__xludf.DUMMYFUNCTION("""COMPUTED_VALUE"""),0.9560456791619771)</f>
        <v>0.9560456792</v>
      </c>
    </row>
    <row r="57" ht="14.25" customHeight="1">
      <c r="A57" s="3" t="s">
        <v>10</v>
      </c>
      <c r="B57" s="3" t="s">
        <v>11</v>
      </c>
      <c r="C57" s="3" t="s">
        <v>12</v>
      </c>
      <c r="D57" s="3" t="s">
        <v>31</v>
      </c>
      <c r="E57" s="3" t="s">
        <v>29</v>
      </c>
      <c r="F57" s="3">
        <v>220.0</v>
      </c>
      <c r="G57" s="4" t="s">
        <v>22</v>
      </c>
      <c r="H57" s="3">
        <v>0.8776096956368153</v>
      </c>
      <c r="K57" s="9" t="str">
        <f>IFERROR(__xludf.DUMMYFUNCTION("""COMPUTED_VALUE"""),"MT Urban")</f>
        <v>MT Urban</v>
      </c>
      <c r="L57" s="9" t="str">
        <f>IFERROR(__xludf.DUMMYFUNCTION("""COMPUTED_VALUE"""),"Elite")</f>
        <v>Elite</v>
      </c>
      <c r="M57" s="9" t="str">
        <f>IFERROR(__xludf.DUMMYFUNCTION("""COMPUTED_VALUE"""),"Unami")</f>
        <v>Unami</v>
      </c>
      <c r="N57" s="9" t="str">
        <f>IFERROR(__xludf.DUMMYFUNCTION("""COMPUTED_VALUE"""),"Strawberry")</f>
        <v>Strawberry</v>
      </c>
      <c r="O57" s="9" t="str">
        <f>IFERROR(__xludf.DUMMYFUNCTION("""COMPUTED_VALUE"""),"TFA")</f>
        <v>TFA</v>
      </c>
      <c r="P57" s="9">
        <f>IFERROR(__xludf.DUMMYFUNCTION("""COMPUTED_VALUE"""),220.0)</f>
        <v>220</v>
      </c>
      <c r="Q57" s="9" t="str">
        <f>IFERROR(__xludf.DUMMYFUNCTION("""COMPUTED_VALUE"""),"Q4'23")</f>
        <v>Q4'23</v>
      </c>
      <c r="R57" s="9">
        <f>IFERROR(__xludf.DUMMYFUNCTION("""COMPUTED_VALUE"""),0.8776096956368153)</f>
        <v>0.8776096956</v>
      </c>
    </row>
    <row r="58" ht="14.25" customHeight="1">
      <c r="A58" s="3" t="s">
        <v>10</v>
      </c>
      <c r="B58" s="3" t="s">
        <v>11</v>
      </c>
      <c r="C58" s="3" t="s">
        <v>12</v>
      </c>
      <c r="D58" s="3" t="s">
        <v>13</v>
      </c>
      <c r="E58" s="3" t="s">
        <v>14</v>
      </c>
      <c r="F58" s="3">
        <v>110.0</v>
      </c>
      <c r="G58" s="4" t="s">
        <v>15</v>
      </c>
      <c r="H58" s="3">
        <v>1.895686536781803</v>
      </c>
      <c r="K58" s="9" t="str">
        <f>IFERROR(__xludf.DUMMYFUNCTION("""COMPUTED_VALUE"""),"MT Urban")</f>
        <v>MT Urban</v>
      </c>
      <c r="L58" s="9" t="str">
        <f>IFERROR(__xludf.DUMMYFUNCTION("""COMPUTED_VALUE"""),"Elite")</f>
        <v>Elite</v>
      </c>
      <c r="M58" s="9" t="str">
        <f>IFERROR(__xludf.DUMMYFUNCTION("""COMPUTED_VALUE"""),"Unami")</f>
        <v>Unami</v>
      </c>
      <c r="N58" s="9" t="str">
        <f>IFERROR(__xludf.DUMMYFUNCTION("""COMPUTED_VALUE"""),"Sweetened")</f>
        <v>Sweetened</v>
      </c>
      <c r="O58" s="9" t="str">
        <f>IFERROR(__xludf.DUMMYFUNCTION("""COMPUTED_VALUE"""),"Carton")</f>
        <v>Carton</v>
      </c>
      <c r="P58" s="9">
        <f>IFERROR(__xludf.DUMMYFUNCTION("""COMPUTED_VALUE"""),110.0)</f>
        <v>110</v>
      </c>
      <c r="Q58" s="9" t="str">
        <f>IFERROR(__xludf.DUMMYFUNCTION("""COMPUTED_VALUE"""),"Q1'22")</f>
        <v>Q1'22</v>
      </c>
      <c r="R58" s="9">
        <f>IFERROR(__xludf.DUMMYFUNCTION("""COMPUTED_VALUE"""),1.895686536781803)</f>
        <v>1.895686537</v>
      </c>
    </row>
    <row r="59" ht="14.25" customHeight="1">
      <c r="A59" s="3" t="s">
        <v>10</v>
      </c>
      <c r="B59" s="3" t="s">
        <v>11</v>
      </c>
      <c r="C59" s="3" t="s">
        <v>12</v>
      </c>
      <c r="D59" s="3" t="s">
        <v>13</v>
      </c>
      <c r="E59" s="3" t="s">
        <v>14</v>
      </c>
      <c r="F59" s="3">
        <v>110.0</v>
      </c>
      <c r="G59" s="4" t="s">
        <v>16</v>
      </c>
      <c r="H59" s="3">
        <v>1.7621762211286103</v>
      </c>
      <c r="K59" s="9" t="str">
        <f>IFERROR(__xludf.DUMMYFUNCTION("""COMPUTED_VALUE"""),"MT Urban")</f>
        <v>MT Urban</v>
      </c>
      <c r="L59" s="9" t="str">
        <f>IFERROR(__xludf.DUMMYFUNCTION("""COMPUTED_VALUE"""),"Elite")</f>
        <v>Elite</v>
      </c>
      <c r="M59" s="9" t="str">
        <f>IFERROR(__xludf.DUMMYFUNCTION("""COMPUTED_VALUE"""),"Unami")</f>
        <v>Unami</v>
      </c>
      <c r="N59" s="9" t="str">
        <f>IFERROR(__xludf.DUMMYFUNCTION("""COMPUTED_VALUE"""),"Sweetened")</f>
        <v>Sweetened</v>
      </c>
      <c r="O59" s="9" t="str">
        <f>IFERROR(__xludf.DUMMYFUNCTION("""COMPUTED_VALUE"""),"Carton")</f>
        <v>Carton</v>
      </c>
      <c r="P59" s="9">
        <f>IFERROR(__xludf.DUMMYFUNCTION("""COMPUTED_VALUE"""),110.0)</f>
        <v>110</v>
      </c>
      <c r="Q59" s="9" t="str">
        <f>IFERROR(__xludf.DUMMYFUNCTION("""COMPUTED_VALUE"""),"Q2'22")</f>
        <v>Q2'22</v>
      </c>
      <c r="R59" s="9">
        <f>IFERROR(__xludf.DUMMYFUNCTION("""COMPUTED_VALUE"""),1.7621762211286103)</f>
        <v>1.762176221</v>
      </c>
    </row>
    <row r="60" ht="14.25" customHeight="1">
      <c r="A60" s="3" t="s">
        <v>10</v>
      </c>
      <c r="B60" s="3" t="s">
        <v>11</v>
      </c>
      <c r="C60" s="3" t="s">
        <v>12</v>
      </c>
      <c r="D60" s="3" t="s">
        <v>13</v>
      </c>
      <c r="E60" s="3" t="s">
        <v>14</v>
      </c>
      <c r="F60" s="3">
        <v>110.0</v>
      </c>
      <c r="G60" s="4" t="s">
        <v>17</v>
      </c>
      <c r="H60" s="3">
        <v>1.9489325594538625</v>
      </c>
      <c r="K60" s="9" t="str">
        <f>IFERROR(__xludf.DUMMYFUNCTION("""COMPUTED_VALUE"""),"MT Urban")</f>
        <v>MT Urban</v>
      </c>
      <c r="L60" s="9" t="str">
        <f>IFERROR(__xludf.DUMMYFUNCTION("""COMPUTED_VALUE"""),"Elite")</f>
        <v>Elite</v>
      </c>
      <c r="M60" s="9" t="str">
        <f>IFERROR(__xludf.DUMMYFUNCTION("""COMPUTED_VALUE"""),"Unami")</f>
        <v>Unami</v>
      </c>
      <c r="N60" s="9" t="str">
        <f>IFERROR(__xludf.DUMMYFUNCTION("""COMPUTED_VALUE"""),"Sweetened")</f>
        <v>Sweetened</v>
      </c>
      <c r="O60" s="9" t="str">
        <f>IFERROR(__xludf.DUMMYFUNCTION("""COMPUTED_VALUE"""),"Carton")</f>
        <v>Carton</v>
      </c>
      <c r="P60" s="9">
        <f>IFERROR(__xludf.DUMMYFUNCTION("""COMPUTED_VALUE"""),110.0)</f>
        <v>110</v>
      </c>
      <c r="Q60" s="9" t="str">
        <f>IFERROR(__xludf.DUMMYFUNCTION("""COMPUTED_VALUE"""),"Q3'22")</f>
        <v>Q3'22</v>
      </c>
      <c r="R60" s="9">
        <f>IFERROR(__xludf.DUMMYFUNCTION("""COMPUTED_VALUE"""),1.9489325594538625)</f>
        <v>1.948932559</v>
      </c>
    </row>
    <row r="61" ht="14.25" customHeight="1">
      <c r="A61" s="3" t="s">
        <v>10</v>
      </c>
      <c r="B61" s="3" t="s">
        <v>11</v>
      </c>
      <c r="C61" s="3" t="s">
        <v>12</v>
      </c>
      <c r="D61" s="3" t="s">
        <v>13</v>
      </c>
      <c r="E61" s="3" t="s">
        <v>14</v>
      </c>
      <c r="F61" s="3">
        <v>110.0</v>
      </c>
      <c r="G61" s="4" t="s">
        <v>18</v>
      </c>
      <c r="H61" s="3">
        <v>1.5351031644937283</v>
      </c>
      <c r="K61" s="9" t="str">
        <f>IFERROR(__xludf.DUMMYFUNCTION("""COMPUTED_VALUE"""),"MT Urban")</f>
        <v>MT Urban</v>
      </c>
      <c r="L61" s="9" t="str">
        <f>IFERROR(__xludf.DUMMYFUNCTION("""COMPUTED_VALUE"""),"Elite")</f>
        <v>Elite</v>
      </c>
      <c r="M61" s="9" t="str">
        <f>IFERROR(__xludf.DUMMYFUNCTION("""COMPUTED_VALUE"""),"Unami")</f>
        <v>Unami</v>
      </c>
      <c r="N61" s="9" t="str">
        <f>IFERROR(__xludf.DUMMYFUNCTION("""COMPUTED_VALUE"""),"Sweetened")</f>
        <v>Sweetened</v>
      </c>
      <c r="O61" s="9" t="str">
        <f>IFERROR(__xludf.DUMMYFUNCTION("""COMPUTED_VALUE"""),"Carton")</f>
        <v>Carton</v>
      </c>
      <c r="P61" s="9">
        <f>IFERROR(__xludf.DUMMYFUNCTION("""COMPUTED_VALUE"""),110.0)</f>
        <v>110</v>
      </c>
      <c r="Q61" s="9" t="str">
        <f>IFERROR(__xludf.DUMMYFUNCTION("""COMPUTED_VALUE"""),"Q4'22")</f>
        <v>Q4'22</v>
      </c>
      <c r="R61" s="9">
        <f>IFERROR(__xludf.DUMMYFUNCTION("""COMPUTED_VALUE"""),1.5351031644937283)</f>
        <v>1.535103164</v>
      </c>
    </row>
    <row r="62" ht="14.25" customHeight="1">
      <c r="A62" s="3" t="s">
        <v>10</v>
      </c>
      <c r="B62" s="3" t="s">
        <v>11</v>
      </c>
      <c r="C62" s="3" t="s">
        <v>12</v>
      </c>
      <c r="D62" s="3" t="s">
        <v>13</v>
      </c>
      <c r="E62" s="3" t="s">
        <v>14</v>
      </c>
      <c r="F62" s="3">
        <v>110.0</v>
      </c>
      <c r="G62" s="4" t="s">
        <v>19</v>
      </c>
      <c r="H62" s="3">
        <v>1.5389488908343036</v>
      </c>
      <c r="K62" s="9" t="str">
        <f>IFERROR(__xludf.DUMMYFUNCTION("""COMPUTED_VALUE"""),"MT Urban")</f>
        <v>MT Urban</v>
      </c>
      <c r="L62" s="9" t="str">
        <f>IFERROR(__xludf.DUMMYFUNCTION("""COMPUTED_VALUE"""),"Elite")</f>
        <v>Elite</v>
      </c>
      <c r="M62" s="9" t="str">
        <f>IFERROR(__xludf.DUMMYFUNCTION("""COMPUTED_VALUE"""),"Unami")</f>
        <v>Unami</v>
      </c>
      <c r="N62" s="9" t="str">
        <f>IFERROR(__xludf.DUMMYFUNCTION("""COMPUTED_VALUE"""),"Sweetened")</f>
        <v>Sweetened</v>
      </c>
      <c r="O62" s="9" t="str">
        <f>IFERROR(__xludf.DUMMYFUNCTION("""COMPUTED_VALUE"""),"Carton")</f>
        <v>Carton</v>
      </c>
      <c r="P62" s="9">
        <f>IFERROR(__xludf.DUMMYFUNCTION("""COMPUTED_VALUE"""),110.0)</f>
        <v>110</v>
      </c>
      <c r="Q62" s="9" t="str">
        <f>IFERROR(__xludf.DUMMYFUNCTION("""COMPUTED_VALUE"""),"Q1'23")</f>
        <v>Q1'23</v>
      </c>
      <c r="R62" s="9">
        <f>IFERROR(__xludf.DUMMYFUNCTION("""COMPUTED_VALUE"""),1.5389488908343036)</f>
        <v>1.538948891</v>
      </c>
    </row>
    <row r="63" ht="14.25" customHeight="1">
      <c r="A63" s="3" t="s">
        <v>10</v>
      </c>
      <c r="B63" s="3" t="s">
        <v>11</v>
      </c>
      <c r="C63" s="3" t="s">
        <v>12</v>
      </c>
      <c r="D63" s="3" t="s">
        <v>13</v>
      </c>
      <c r="E63" s="3" t="s">
        <v>14</v>
      </c>
      <c r="F63" s="3">
        <v>110.0</v>
      </c>
      <c r="G63" s="4" t="s">
        <v>20</v>
      </c>
      <c r="H63" s="3">
        <v>1.3024046111065624</v>
      </c>
      <c r="K63" s="9" t="str">
        <f>IFERROR(__xludf.DUMMYFUNCTION("""COMPUTED_VALUE"""),"MT Urban")</f>
        <v>MT Urban</v>
      </c>
      <c r="L63" s="9" t="str">
        <f>IFERROR(__xludf.DUMMYFUNCTION("""COMPUTED_VALUE"""),"Elite")</f>
        <v>Elite</v>
      </c>
      <c r="M63" s="9" t="str">
        <f>IFERROR(__xludf.DUMMYFUNCTION("""COMPUTED_VALUE"""),"Unami")</f>
        <v>Unami</v>
      </c>
      <c r="N63" s="9" t="str">
        <f>IFERROR(__xludf.DUMMYFUNCTION("""COMPUTED_VALUE"""),"Sweetened")</f>
        <v>Sweetened</v>
      </c>
      <c r="O63" s="9" t="str">
        <f>IFERROR(__xludf.DUMMYFUNCTION("""COMPUTED_VALUE"""),"Carton")</f>
        <v>Carton</v>
      </c>
      <c r="P63" s="9">
        <f>IFERROR(__xludf.DUMMYFUNCTION("""COMPUTED_VALUE"""),110.0)</f>
        <v>110</v>
      </c>
      <c r="Q63" s="9" t="str">
        <f>IFERROR(__xludf.DUMMYFUNCTION("""COMPUTED_VALUE"""),"Q2'23")</f>
        <v>Q2'23</v>
      </c>
      <c r="R63" s="9">
        <f>IFERROR(__xludf.DUMMYFUNCTION("""COMPUTED_VALUE"""),1.3024046111065624)</f>
        <v>1.302404611</v>
      </c>
    </row>
    <row r="64" ht="14.25" customHeight="1">
      <c r="A64" s="3" t="s">
        <v>10</v>
      </c>
      <c r="B64" s="3" t="s">
        <v>11</v>
      </c>
      <c r="C64" s="3" t="s">
        <v>12</v>
      </c>
      <c r="D64" s="3" t="s">
        <v>13</v>
      </c>
      <c r="E64" s="3" t="s">
        <v>14</v>
      </c>
      <c r="F64" s="3">
        <v>110.0</v>
      </c>
      <c r="G64" s="4" t="s">
        <v>21</v>
      </c>
      <c r="H64" s="3">
        <v>1.445354979386722</v>
      </c>
      <c r="K64" s="9" t="str">
        <f>IFERROR(__xludf.DUMMYFUNCTION("""COMPUTED_VALUE"""),"MT Urban")</f>
        <v>MT Urban</v>
      </c>
      <c r="L64" s="9" t="str">
        <f>IFERROR(__xludf.DUMMYFUNCTION("""COMPUTED_VALUE"""),"Elite")</f>
        <v>Elite</v>
      </c>
      <c r="M64" s="9" t="str">
        <f>IFERROR(__xludf.DUMMYFUNCTION("""COMPUTED_VALUE"""),"Unami")</f>
        <v>Unami</v>
      </c>
      <c r="N64" s="9" t="str">
        <f>IFERROR(__xludf.DUMMYFUNCTION("""COMPUTED_VALUE"""),"Sweetened")</f>
        <v>Sweetened</v>
      </c>
      <c r="O64" s="9" t="str">
        <f>IFERROR(__xludf.DUMMYFUNCTION("""COMPUTED_VALUE"""),"Carton")</f>
        <v>Carton</v>
      </c>
      <c r="P64" s="9">
        <f>IFERROR(__xludf.DUMMYFUNCTION("""COMPUTED_VALUE"""),110.0)</f>
        <v>110</v>
      </c>
      <c r="Q64" s="9" t="str">
        <f>IFERROR(__xludf.DUMMYFUNCTION("""COMPUTED_VALUE"""),"Q3'23")</f>
        <v>Q3'23</v>
      </c>
      <c r="R64" s="9">
        <f>IFERROR(__xludf.DUMMYFUNCTION("""COMPUTED_VALUE"""),1.445354979386722)</f>
        <v>1.445354979</v>
      </c>
    </row>
    <row r="65" ht="14.25" customHeight="1">
      <c r="A65" s="3" t="s">
        <v>10</v>
      </c>
      <c r="B65" s="3" t="s">
        <v>11</v>
      </c>
      <c r="C65" s="3" t="s">
        <v>12</v>
      </c>
      <c r="D65" s="3" t="s">
        <v>13</v>
      </c>
      <c r="E65" s="3" t="s">
        <v>14</v>
      </c>
      <c r="F65" s="3">
        <v>110.0</v>
      </c>
      <c r="G65" s="4" t="s">
        <v>22</v>
      </c>
      <c r="H65" s="3">
        <v>1.3861679103022997</v>
      </c>
      <c r="K65" s="9" t="str">
        <f>IFERROR(__xludf.DUMMYFUNCTION("""COMPUTED_VALUE"""),"MT Urban")</f>
        <v>MT Urban</v>
      </c>
      <c r="L65" s="9" t="str">
        <f>IFERROR(__xludf.DUMMYFUNCTION("""COMPUTED_VALUE"""),"Elite")</f>
        <v>Elite</v>
      </c>
      <c r="M65" s="9" t="str">
        <f>IFERROR(__xludf.DUMMYFUNCTION("""COMPUTED_VALUE"""),"Unami")</f>
        <v>Unami</v>
      </c>
      <c r="N65" s="9" t="str">
        <f>IFERROR(__xludf.DUMMYFUNCTION("""COMPUTED_VALUE"""),"Sweetened")</f>
        <v>Sweetened</v>
      </c>
      <c r="O65" s="9" t="str">
        <f>IFERROR(__xludf.DUMMYFUNCTION("""COMPUTED_VALUE"""),"Carton")</f>
        <v>Carton</v>
      </c>
      <c r="P65" s="9">
        <f>IFERROR(__xludf.DUMMYFUNCTION("""COMPUTED_VALUE"""),110.0)</f>
        <v>110</v>
      </c>
      <c r="Q65" s="9" t="str">
        <f>IFERROR(__xludf.DUMMYFUNCTION("""COMPUTED_VALUE"""),"Q4'23")</f>
        <v>Q4'23</v>
      </c>
      <c r="R65" s="9">
        <f>IFERROR(__xludf.DUMMYFUNCTION("""COMPUTED_VALUE"""),1.3861679103022997)</f>
        <v>1.38616791</v>
      </c>
    </row>
    <row r="66" ht="14.25" customHeight="1">
      <c r="A66" s="3" t="s">
        <v>10</v>
      </c>
      <c r="B66" s="3" t="s">
        <v>11</v>
      </c>
      <c r="C66" s="3" t="s">
        <v>12</v>
      </c>
      <c r="D66" s="3" t="s">
        <v>13</v>
      </c>
      <c r="E66" s="3" t="s">
        <v>14</v>
      </c>
      <c r="F66" s="3">
        <v>180.0</v>
      </c>
      <c r="G66" s="4" t="s">
        <v>15</v>
      </c>
      <c r="H66" s="3">
        <v>2.674606459233615</v>
      </c>
      <c r="K66" s="9" t="str">
        <f>IFERROR(__xludf.DUMMYFUNCTION("""COMPUTED_VALUE"""),"MT Urban")</f>
        <v>MT Urban</v>
      </c>
      <c r="L66" s="9" t="str">
        <f>IFERROR(__xludf.DUMMYFUNCTION("""COMPUTED_VALUE"""),"Elite")</f>
        <v>Elite</v>
      </c>
      <c r="M66" s="9" t="str">
        <f>IFERROR(__xludf.DUMMYFUNCTION("""COMPUTED_VALUE"""),"Unami")</f>
        <v>Unami</v>
      </c>
      <c r="N66" s="9" t="str">
        <f>IFERROR(__xludf.DUMMYFUNCTION("""COMPUTED_VALUE"""),"Sweetened")</f>
        <v>Sweetened</v>
      </c>
      <c r="O66" s="9" t="str">
        <f>IFERROR(__xludf.DUMMYFUNCTION("""COMPUTED_VALUE"""),"Carton")</f>
        <v>Carton</v>
      </c>
      <c r="P66" s="9">
        <f>IFERROR(__xludf.DUMMYFUNCTION("""COMPUTED_VALUE"""),180.0)</f>
        <v>180</v>
      </c>
      <c r="Q66" s="9" t="str">
        <f>IFERROR(__xludf.DUMMYFUNCTION("""COMPUTED_VALUE"""),"Q1'22")</f>
        <v>Q1'22</v>
      </c>
      <c r="R66" s="9">
        <f>IFERROR(__xludf.DUMMYFUNCTION("""COMPUTED_VALUE"""),2.674606459233615)</f>
        <v>2.674606459</v>
      </c>
    </row>
    <row r="67" ht="14.25" customHeight="1">
      <c r="A67" s="3" t="s">
        <v>10</v>
      </c>
      <c r="B67" s="3" t="s">
        <v>11</v>
      </c>
      <c r="C67" s="3" t="s">
        <v>12</v>
      </c>
      <c r="D67" s="3" t="s">
        <v>13</v>
      </c>
      <c r="E67" s="3" t="s">
        <v>14</v>
      </c>
      <c r="F67" s="3">
        <v>180.0</v>
      </c>
      <c r="G67" s="4" t="s">
        <v>16</v>
      </c>
      <c r="H67" s="3">
        <v>2.5268936332952285</v>
      </c>
      <c r="K67" s="9" t="str">
        <f>IFERROR(__xludf.DUMMYFUNCTION("""COMPUTED_VALUE"""),"MT Urban")</f>
        <v>MT Urban</v>
      </c>
      <c r="L67" s="9" t="str">
        <f>IFERROR(__xludf.DUMMYFUNCTION("""COMPUTED_VALUE"""),"Elite")</f>
        <v>Elite</v>
      </c>
      <c r="M67" s="9" t="str">
        <f>IFERROR(__xludf.DUMMYFUNCTION("""COMPUTED_VALUE"""),"Unami")</f>
        <v>Unami</v>
      </c>
      <c r="N67" s="9" t="str">
        <f>IFERROR(__xludf.DUMMYFUNCTION("""COMPUTED_VALUE"""),"Sweetened")</f>
        <v>Sweetened</v>
      </c>
      <c r="O67" s="9" t="str">
        <f>IFERROR(__xludf.DUMMYFUNCTION("""COMPUTED_VALUE"""),"Carton")</f>
        <v>Carton</v>
      </c>
      <c r="P67" s="9">
        <f>IFERROR(__xludf.DUMMYFUNCTION("""COMPUTED_VALUE"""),180.0)</f>
        <v>180</v>
      </c>
      <c r="Q67" s="9" t="str">
        <f>IFERROR(__xludf.DUMMYFUNCTION("""COMPUTED_VALUE"""),"Q2'22")</f>
        <v>Q2'22</v>
      </c>
      <c r="R67" s="9">
        <f>IFERROR(__xludf.DUMMYFUNCTION("""COMPUTED_VALUE"""),2.5268936332952285)</f>
        <v>2.526893633</v>
      </c>
    </row>
    <row r="68" ht="14.25" customHeight="1">
      <c r="A68" s="3" t="s">
        <v>10</v>
      </c>
      <c r="B68" s="3" t="s">
        <v>11</v>
      </c>
      <c r="C68" s="3" t="s">
        <v>12</v>
      </c>
      <c r="D68" s="3" t="s">
        <v>13</v>
      </c>
      <c r="E68" s="3" t="s">
        <v>14</v>
      </c>
      <c r="F68" s="3">
        <v>180.0</v>
      </c>
      <c r="G68" s="4" t="s">
        <v>17</v>
      </c>
      <c r="H68" s="3">
        <v>2.513465844350378</v>
      </c>
      <c r="K68" s="9" t="str">
        <f>IFERROR(__xludf.DUMMYFUNCTION("""COMPUTED_VALUE"""),"MT Urban")</f>
        <v>MT Urban</v>
      </c>
      <c r="L68" s="9" t="str">
        <f>IFERROR(__xludf.DUMMYFUNCTION("""COMPUTED_VALUE"""),"Elite")</f>
        <v>Elite</v>
      </c>
      <c r="M68" s="9" t="str">
        <f>IFERROR(__xludf.DUMMYFUNCTION("""COMPUTED_VALUE"""),"Unami")</f>
        <v>Unami</v>
      </c>
      <c r="N68" s="9" t="str">
        <f>IFERROR(__xludf.DUMMYFUNCTION("""COMPUTED_VALUE"""),"Sweetened")</f>
        <v>Sweetened</v>
      </c>
      <c r="O68" s="9" t="str">
        <f>IFERROR(__xludf.DUMMYFUNCTION("""COMPUTED_VALUE"""),"Carton")</f>
        <v>Carton</v>
      </c>
      <c r="P68" s="9">
        <f>IFERROR(__xludf.DUMMYFUNCTION("""COMPUTED_VALUE"""),180.0)</f>
        <v>180</v>
      </c>
      <c r="Q68" s="9" t="str">
        <f>IFERROR(__xludf.DUMMYFUNCTION("""COMPUTED_VALUE"""),"Q3'22")</f>
        <v>Q3'22</v>
      </c>
      <c r="R68" s="9">
        <f>IFERROR(__xludf.DUMMYFUNCTION("""COMPUTED_VALUE"""),2.513465844350378)</f>
        <v>2.513465844</v>
      </c>
    </row>
    <row r="69" ht="14.25" customHeight="1">
      <c r="A69" s="3" t="s">
        <v>10</v>
      </c>
      <c r="B69" s="3" t="s">
        <v>11</v>
      </c>
      <c r="C69" s="3" t="s">
        <v>12</v>
      </c>
      <c r="D69" s="3" t="s">
        <v>13</v>
      </c>
      <c r="E69" s="3" t="s">
        <v>14</v>
      </c>
      <c r="F69" s="3">
        <v>180.0</v>
      </c>
      <c r="G69" s="4" t="s">
        <v>18</v>
      </c>
      <c r="H69" s="3">
        <v>2.0557651468571203</v>
      </c>
      <c r="K69" s="9" t="str">
        <f>IFERROR(__xludf.DUMMYFUNCTION("""COMPUTED_VALUE"""),"MT Urban")</f>
        <v>MT Urban</v>
      </c>
      <c r="L69" s="9" t="str">
        <f>IFERROR(__xludf.DUMMYFUNCTION("""COMPUTED_VALUE"""),"Elite")</f>
        <v>Elite</v>
      </c>
      <c r="M69" s="9" t="str">
        <f>IFERROR(__xludf.DUMMYFUNCTION("""COMPUTED_VALUE"""),"Unami")</f>
        <v>Unami</v>
      </c>
      <c r="N69" s="9" t="str">
        <f>IFERROR(__xludf.DUMMYFUNCTION("""COMPUTED_VALUE"""),"Sweetened")</f>
        <v>Sweetened</v>
      </c>
      <c r="O69" s="9" t="str">
        <f>IFERROR(__xludf.DUMMYFUNCTION("""COMPUTED_VALUE"""),"Carton")</f>
        <v>Carton</v>
      </c>
      <c r="P69" s="9">
        <f>IFERROR(__xludf.DUMMYFUNCTION("""COMPUTED_VALUE"""),180.0)</f>
        <v>180</v>
      </c>
      <c r="Q69" s="9" t="str">
        <f>IFERROR(__xludf.DUMMYFUNCTION("""COMPUTED_VALUE"""),"Q4'22")</f>
        <v>Q4'22</v>
      </c>
      <c r="R69" s="9">
        <f>IFERROR(__xludf.DUMMYFUNCTION("""COMPUTED_VALUE"""),2.0557651468571203)</f>
        <v>2.055765147</v>
      </c>
    </row>
    <row r="70" ht="14.25" customHeight="1">
      <c r="A70" s="3" t="s">
        <v>10</v>
      </c>
      <c r="B70" s="3" t="s">
        <v>11</v>
      </c>
      <c r="C70" s="3" t="s">
        <v>12</v>
      </c>
      <c r="D70" s="3" t="s">
        <v>13</v>
      </c>
      <c r="E70" s="3" t="s">
        <v>14</v>
      </c>
      <c r="F70" s="3">
        <v>180.0</v>
      </c>
      <c r="G70" s="4" t="s">
        <v>19</v>
      </c>
      <c r="H70" s="3">
        <v>1.9587176198417415</v>
      </c>
      <c r="K70" s="9" t="str">
        <f>IFERROR(__xludf.DUMMYFUNCTION("""COMPUTED_VALUE"""),"MT Urban")</f>
        <v>MT Urban</v>
      </c>
      <c r="L70" s="9" t="str">
        <f>IFERROR(__xludf.DUMMYFUNCTION("""COMPUTED_VALUE"""),"Elite")</f>
        <v>Elite</v>
      </c>
      <c r="M70" s="9" t="str">
        <f>IFERROR(__xludf.DUMMYFUNCTION("""COMPUTED_VALUE"""),"Unami")</f>
        <v>Unami</v>
      </c>
      <c r="N70" s="9" t="str">
        <f>IFERROR(__xludf.DUMMYFUNCTION("""COMPUTED_VALUE"""),"Sweetened")</f>
        <v>Sweetened</v>
      </c>
      <c r="O70" s="9" t="str">
        <f>IFERROR(__xludf.DUMMYFUNCTION("""COMPUTED_VALUE"""),"Carton")</f>
        <v>Carton</v>
      </c>
      <c r="P70" s="9">
        <f>IFERROR(__xludf.DUMMYFUNCTION("""COMPUTED_VALUE"""),180.0)</f>
        <v>180</v>
      </c>
      <c r="Q70" s="9" t="str">
        <f>IFERROR(__xludf.DUMMYFUNCTION("""COMPUTED_VALUE"""),"Q1'23")</f>
        <v>Q1'23</v>
      </c>
      <c r="R70" s="9">
        <f>IFERROR(__xludf.DUMMYFUNCTION("""COMPUTED_VALUE"""),1.9587176198417415)</f>
        <v>1.95871762</v>
      </c>
    </row>
    <row r="71" ht="14.25" customHeight="1">
      <c r="A71" s="3" t="s">
        <v>10</v>
      </c>
      <c r="B71" s="3" t="s">
        <v>11</v>
      </c>
      <c r="C71" s="3" t="s">
        <v>12</v>
      </c>
      <c r="D71" s="3" t="s">
        <v>13</v>
      </c>
      <c r="E71" s="3" t="s">
        <v>14</v>
      </c>
      <c r="F71" s="3">
        <v>180.0</v>
      </c>
      <c r="G71" s="4" t="s">
        <v>20</v>
      </c>
      <c r="H71" s="3">
        <v>1.7282036876989815</v>
      </c>
      <c r="K71" s="9" t="str">
        <f>IFERROR(__xludf.DUMMYFUNCTION("""COMPUTED_VALUE"""),"MT Urban")</f>
        <v>MT Urban</v>
      </c>
      <c r="L71" s="9" t="str">
        <f>IFERROR(__xludf.DUMMYFUNCTION("""COMPUTED_VALUE"""),"Elite")</f>
        <v>Elite</v>
      </c>
      <c r="M71" s="9" t="str">
        <f>IFERROR(__xludf.DUMMYFUNCTION("""COMPUTED_VALUE"""),"Unami")</f>
        <v>Unami</v>
      </c>
      <c r="N71" s="9" t="str">
        <f>IFERROR(__xludf.DUMMYFUNCTION("""COMPUTED_VALUE"""),"Sweetened")</f>
        <v>Sweetened</v>
      </c>
      <c r="O71" s="9" t="str">
        <f>IFERROR(__xludf.DUMMYFUNCTION("""COMPUTED_VALUE"""),"Carton")</f>
        <v>Carton</v>
      </c>
      <c r="P71" s="9">
        <f>IFERROR(__xludf.DUMMYFUNCTION("""COMPUTED_VALUE"""),180.0)</f>
        <v>180</v>
      </c>
      <c r="Q71" s="9" t="str">
        <f>IFERROR(__xludf.DUMMYFUNCTION("""COMPUTED_VALUE"""),"Q2'23")</f>
        <v>Q2'23</v>
      </c>
      <c r="R71" s="9">
        <f>IFERROR(__xludf.DUMMYFUNCTION("""COMPUTED_VALUE"""),1.7282036876989815)</f>
        <v>1.728203688</v>
      </c>
    </row>
    <row r="72" ht="14.25" customHeight="1">
      <c r="A72" s="3" t="s">
        <v>10</v>
      </c>
      <c r="B72" s="3" t="s">
        <v>11</v>
      </c>
      <c r="C72" s="3" t="s">
        <v>12</v>
      </c>
      <c r="D72" s="3" t="s">
        <v>13</v>
      </c>
      <c r="E72" s="3" t="s">
        <v>14</v>
      </c>
      <c r="F72" s="3">
        <v>180.0</v>
      </c>
      <c r="G72" s="4" t="s">
        <v>21</v>
      </c>
      <c r="H72" s="3">
        <v>1.8801756346466345</v>
      </c>
      <c r="K72" s="9" t="str">
        <f>IFERROR(__xludf.DUMMYFUNCTION("""COMPUTED_VALUE"""),"MT Urban")</f>
        <v>MT Urban</v>
      </c>
      <c r="L72" s="9" t="str">
        <f>IFERROR(__xludf.DUMMYFUNCTION("""COMPUTED_VALUE"""),"Elite")</f>
        <v>Elite</v>
      </c>
      <c r="M72" s="9" t="str">
        <f>IFERROR(__xludf.DUMMYFUNCTION("""COMPUTED_VALUE"""),"Unami")</f>
        <v>Unami</v>
      </c>
      <c r="N72" s="9" t="str">
        <f>IFERROR(__xludf.DUMMYFUNCTION("""COMPUTED_VALUE"""),"Sweetened")</f>
        <v>Sweetened</v>
      </c>
      <c r="O72" s="9" t="str">
        <f>IFERROR(__xludf.DUMMYFUNCTION("""COMPUTED_VALUE"""),"Carton")</f>
        <v>Carton</v>
      </c>
      <c r="P72" s="9">
        <f>IFERROR(__xludf.DUMMYFUNCTION("""COMPUTED_VALUE"""),180.0)</f>
        <v>180</v>
      </c>
      <c r="Q72" s="9" t="str">
        <f>IFERROR(__xludf.DUMMYFUNCTION("""COMPUTED_VALUE"""),"Q3'23")</f>
        <v>Q3'23</v>
      </c>
      <c r="R72" s="9">
        <f>IFERROR(__xludf.DUMMYFUNCTION("""COMPUTED_VALUE"""),1.8801756346466345)</f>
        <v>1.880175635</v>
      </c>
    </row>
    <row r="73" ht="14.25" customHeight="1">
      <c r="A73" s="3" t="s">
        <v>10</v>
      </c>
      <c r="B73" s="3" t="s">
        <v>11</v>
      </c>
      <c r="C73" s="3" t="s">
        <v>12</v>
      </c>
      <c r="D73" s="3" t="s">
        <v>13</v>
      </c>
      <c r="E73" s="3" t="s">
        <v>14</v>
      </c>
      <c r="F73" s="3">
        <v>180.0</v>
      </c>
      <c r="G73" s="4" t="s">
        <v>22</v>
      </c>
      <c r="H73" s="3">
        <v>1.7195613041506592</v>
      </c>
      <c r="K73" s="9" t="str">
        <f>IFERROR(__xludf.DUMMYFUNCTION("""COMPUTED_VALUE"""),"MT Urban")</f>
        <v>MT Urban</v>
      </c>
      <c r="L73" s="9" t="str">
        <f>IFERROR(__xludf.DUMMYFUNCTION("""COMPUTED_VALUE"""),"Elite")</f>
        <v>Elite</v>
      </c>
      <c r="M73" s="9" t="str">
        <f>IFERROR(__xludf.DUMMYFUNCTION("""COMPUTED_VALUE"""),"Unami")</f>
        <v>Unami</v>
      </c>
      <c r="N73" s="9" t="str">
        <f>IFERROR(__xludf.DUMMYFUNCTION("""COMPUTED_VALUE"""),"Sweetened")</f>
        <v>Sweetened</v>
      </c>
      <c r="O73" s="9" t="str">
        <f>IFERROR(__xludf.DUMMYFUNCTION("""COMPUTED_VALUE"""),"Carton")</f>
        <v>Carton</v>
      </c>
      <c r="P73" s="9">
        <f>IFERROR(__xludf.DUMMYFUNCTION("""COMPUTED_VALUE"""),180.0)</f>
        <v>180</v>
      </c>
      <c r="Q73" s="9" t="str">
        <f>IFERROR(__xludf.DUMMYFUNCTION("""COMPUTED_VALUE"""),"Q4'23")</f>
        <v>Q4'23</v>
      </c>
      <c r="R73" s="9">
        <f>IFERROR(__xludf.DUMMYFUNCTION("""COMPUTED_VALUE"""),1.7195613041506592)</f>
        <v>1.719561304</v>
      </c>
    </row>
    <row r="74" ht="14.25" customHeight="1">
      <c r="A74" s="3" t="s">
        <v>10</v>
      </c>
      <c r="B74" s="3" t="s">
        <v>11</v>
      </c>
      <c r="C74" s="3" t="s">
        <v>12</v>
      </c>
      <c r="D74" s="3" t="s">
        <v>13</v>
      </c>
      <c r="E74" s="3" t="s">
        <v>29</v>
      </c>
      <c r="F74" s="3">
        <v>220.0</v>
      </c>
      <c r="G74" s="4" t="s">
        <v>15</v>
      </c>
      <c r="H74" s="3">
        <v>10.613174057831438</v>
      </c>
      <c r="K74" s="9" t="str">
        <f>IFERROR(__xludf.DUMMYFUNCTION("""COMPUTED_VALUE"""),"MT Urban")</f>
        <v>MT Urban</v>
      </c>
      <c r="L74" s="9" t="str">
        <f>IFERROR(__xludf.DUMMYFUNCTION("""COMPUTED_VALUE"""),"Elite")</f>
        <v>Elite</v>
      </c>
      <c r="M74" s="9" t="str">
        <f>IFERROR(__xludf.DUMMYFUNCTION("""COMPUTED_VALUE"""),"Unami")</f>
        <v>Unami</v>
      </c>
      <c r="N74" s="9" t="str">
        <f>IFERROR(__xludf.DUMMYFUNCTION("""COMPUTED_VALUE"""),"Sweetened")</f>
        <v>Sweetened</v>
      </c>
      <c r="O74" s="9" t="str">
        <f>IFERROR(__xludf.DUMMYFUNCTION("""COMPUTED_VALUE"""),"TFA")</f>
        <v>TFA</v>
      </c>
      <c r="P74" s="9">
        <f>IFERROR(__xludf.DUMMYFUNCTION("""COMPUTED_VALUE"""),220.0)</f>
        <v>220</v>
      </c>
      <c r="Q74" s="9" t="str">
        <f>IFERROR(__xludf.DUMMYFUNCTION("""COMPUTED_VALUE"""),"Q1'22")</f>
        <v>Q1'22</v>
      </c>
      <c r="R74" s="9">
        <f>IFERROR(__xludf.DUMMYFUNCTION("""COMPUTED_VALUE"""),10.613174057831438)</f>
        <v>10.61317406</v>
      </c>
    </row>
    <row r="75" ht="14.25" customHeight="1">
      <c r="A75" s="3" t="s">
        <v>10</v>
      </c>
      <c r="B75" s="3" t="s">
        <v>11</v>
      </c>
      <c r="C75" s="3" t="s">
        <v>12</v>
      </c>
      <c r="D75" s="3" t="s">
        <v>13</v>
      </c>
      <c r="E75" s="3" t="s">
        <v>29</v>
      </c>
      <c r="F75" s="3">
        <v>220.0</v>
      </c>
      <c r="G75" s="4" t="s">
        <v>16</v>
      </c>
      <c r="H75" s="3">
        <v>11.218264679933002</v>
      </c>
      <c r="K75" s="9" t="str">
        <f>IFERROR(__xludf.DUMMYFUNCTION("""COMPUTED_VALUE"""),"MT Urban")</f>
        <v>MT Urban</v>
      </c>
      <c r="L75" s="9" t="str">
        <f>IFERROR(__xludf.DUMMYFUNCTION("""COMPUTED_VALUE"""),"Elite")</f>
        <v>Elite</v>
      </c>
      <c r="M75" s="9" t="str">
        <f>IFERROR(__xludf.DUMMYFUNCTION("""COMPUTED_VALUE"""),"Unami")</f>
        <v>Unami</v>
      </c>
      <c r="N75" s="9" t="str">
        <f>IFERROR(__xludf.DUMMYFUNCTION("""COMPUTED_VALUE"""),"Sweetened")</f>
        <v>Sweetened</v>
      </c>
      <c r="O75" s="9" t="str">
        <f>IFERROR(__xludf.DUMMYFUNCTION("""COMPUTED_VALUE"""),"TFA")</f>
        <v>TFA</v>
      </c>
      <c r="P75" s="9">
        <f>IFERROR(__xludf.DUMMYFUNCTION("""COMPUTED_VALUE"""),220.0)</f>
        <v>220</v>
      </c>
      <c r="Q75" s="9" t="str">
        <f>IFERROR(__xludf.DUMMYFUNCTION("""COMPUTED_VALUE"""),"Q2'22")</f>
        <v>Q2'22</v>
      </c>
      <c r="R75" s="9">
        <f>IFERROR(__xludf.DUMMYFUNCTION("""COMPUTED_VALUE"""),11.218264679933002)</f>
        <v>11.21826468</v>
      </c>
    </row>
    <row r="76" ht="14.25" customHeight="1">
      <c r="A76" s="3" t="s">
        <v>10</v>
      </c>
      <c r="B76" s="3" t="s">
        <v>11</v>
      </c>
      <c r="C76" s="3" t="s">
        <v>12</v>
      </c>
      <c r="D76" s="3" t="s">
        <v>13</v>
      </c>
      <c r="E76" s="3" t="s">
        <v>29</v>
      </c>
      <c r="F76" s="3">
        <v>220.0</v>
      </c>
      <c r="G76" s="4" t="s">
        <v>17</v>
      </c>
      <c r="H76" s="3">
        <v>11.038871629345767</v>
      </c>
      <c r="K76" s="9" t="str">
        <f>IFERROR(__xludf.DUMMYFUNCTION("""COMPUTED_VALUE"""),"MT Urban")</f>
        <v>MT Urban</v>
      </c>
      <c r="L76" s="9" t="str">
        <f>IFERROR(__xludf.DUMMYFUNCTION("""COMPUTED_VALUE"""),"Elite")</f>
        <v>Elite</v>
      </c>
      <c r="M76" s="9" t="str">
        <f>IFERROR(__xludf.DUMMYFUNCTION("""COMPUTED_VALUE"""),"Unami")</f>
        <v>Unami</v>
      </c>
      <c r="N76" s="9" t="str">
        <f>IFERROR(__xludf.DUMMYFUNCTION("""COMPUTED_VALUE"""),"Sweetened")</f>
        <v>Sweetened</v>
      </c>
      <c r="O76" s="9" t="str">
        <f>IFERROR(__xludf.DUMMYFUNCTION("""COMPUTED_VALUE"""),"TFA")</f>
        <v>TFA</v>
      </c>
      <c r="P76" s="9">
        <f>IFERROR(__xludf.DUMMYFUNCTION("""COMPUTED_VALUE"""),220.0)</f>
        <v>220</v>
      </c>
      <c r="Q76" s="9" t="str">
        <f>IFERROR(__xludf.DUMMYFUNCTION("""COMPUTED_VALUE"""),"Q3'22")</f>
        <v>Q3'22</v>
      </c>
      <c r="R76" s="9">
        <f>IFERROR(__xludf.DUMMYFUNCTION("""COMPUTED_VALUE"""),11.038871629345767)</f>
        <v>11.03887163</v>
      </c>
    </row>
    <row r="77" ht="14.25" customHeight="1">
      <c r="A77" s="3" t="s">
        <v>10</v>
      </c>
      <c r="B77" s="3" t="s">
        <v>11</v>
      </c>
      <c r="C77" s="3" t="s">
        <v>12</v>
      </c>
      <c r="D77" s="3" t="s">
        <v>13</v>
      </c>
      <c r="E77" s="3" t="s">
        <v>29</v>
      </c>
      <c r="F77" s="3">
        <v>220.0</v>
      </c>
      <c r="G77" s="4" t="s">
        <v>18</v>
      </c>
      <c r="H77" s="3">
        <v>11.31508264502986</v>
      </c>
      <c r="K77" s="9" t="str">
        <f>IFERROR(__xludf.DUMMYFUNCTION("""COMPUTED_VALUE"""),"MT Urban")</f>
        <v>MT Urban</v>
      </c>
      <c r="L77" s="9" t="str">
        <f>IFERROR(__xludf.DUMMYFUNCTION("""COMPUTED_VALUE"""),"Elite")</f>
        <v>Elite</v>
      </c>
      <c r="M77" s="9" t="str">
        <f>IFERROR(__xludf.DUMMYFUNCTION("""COMPUTED_VALUE"""),"Unami")</f>
        <v>Unami</v>
      </c>
      <c r="N77" s="9" t="str">
        <f>IFERROR(__xludf.DUMMYFUNCTION("""COMPUTED_VALUE"""),"Sweetened")</f>
        <v>Sweetened</v>
      </c>
      <c r="O77" s="9" t="str">
        <f>IFERROR(__xludf.DUMMYFUNCTION("""COMPUTED_VALUE"""),"TFA")</f>
        <v>TFA</v>
      </c>
      <c r="P77" s="9">
        <f>IFERROR(__xludf.DUMMYFUNCTION("""COMPUTED_VALUE"""),220.0)</f>
        <v>220</v>
      </c>
      <c r="Q77" s="9" t="str">
        <f>IFERROR(__xludf.DUMMYFUNCTION("""COMPUTED_VALUE"""),"Q4'22")</f>
        <v>Q4'22</v>
      </c>
      <c r="R77" s="9">
        <f>IFERROR(__xludf.DUMMYFUNCTION("""COMPUTED_VALUE"""),11.31508264502986)</f>
        <v>11.31508265</v>
      </c>
    </row>
    <row r="78" ht="14.25" customHeight="1">
      <c r="A78" s="3" t="s">
        <v>10</v>
      </c>
      <c r="B78" s="3" t="s">
        <v>11</v>
      </c>
      <c r="C78" s="3" t="s">
        <v>12</v>
      </c>
      <c r="D78" s="3" t="s">
        <v>13</v>
      </c>
      <c r="E78" s="3" t="s">
        <v>29</v>
      </c>
      <c r="F78" s="3">
        <v>220.0</v>
      </c>
      <c r="G78" s="4" t="s">
        <v>19</v>
      </c>
      <c r="H78" s="3">
        <v>10.48643426517127</v>
      </c>
      <c r="K78" s="9" t="str">
        <f>IFERROR(__xludf.DUMMYFUNCTION("""COMPUTED_VALUE"""),"MT Urban")</f>
        <v>MT Urban</v>
      </c>
      <c r="L78" s="9" t="str">
        <f>IFERROR(__xludf.DUMMYFUNCTION("""COMPUTED_VALUE"""),"Elite")</f>
        <v>Elite</v>
      </c>
      <c r="M78" s="9" t="str">
        <f>IFERROR(__xludf.DUMMYFUNCTION("""COMPUTED_VALUE"""),"Unami")</f>
        <v>Unami</v>
      </c>
      <c r="N78" s="9" t="str">
        <f>IFERROR(__xludf.DUMMYFUNCTION("""COMPUTED_VALUE"""),"Sweetened")</f>
        <v>Sweetened</v>
      </c>
      <c r="O78" s="9" t="str">
        <f>IFERROR(__xludf.DUMMYFUNCTION("""COMPUTED_VALUE"""),"TFA")</f>
        <v>TFA</v>
      </c>
      <c r="P78" s="9">
        <f>IFERROR(__xludf.DUMMYFUNCTION("""COMPUTED_VALUE"""),220.0)</f>
        <v>220</v>
      </c>
      <c r="Q78" s="9" t="str">
        <f>IFERROR(__xludf.DUMMYFUNCTION("""COMPUTED_VALUE"""),"Q1'23")</f>
        <v>Q1'23</v>
      </c>
      <c r="R78" s="9">
        <f>IFERROR(__xludf.DUMMYFUNCTION("""COMPUTED_VALUE"""),10.48643426517127)</f>
        <v>10.48643427</v>
      </c>
    </row>
    <row r="79" ht="14.25" customHeight="1">
      <c r="A79" s="3" t="s">
        <v>10</v>
      </c>
      <c r="B79" s="3" t="s">
        <v>11</v>
      </c>
      <c r="C79" s="3" t="s">
        <v>12</v>
      </c>
      <c r="D79" s="3" t="s">
        <v>13</v>
      </c>
      <c r="E79" s="3" t="s">
        <v>29</v>
      </c>
      <c r="F79" s="3">
        <v>220.0</v>
      </c>
      <c r="G79" s="4" t="s">
        <v>20</v>
      </c>
      <c r="H79" s="3">
        <v>10.211635754104826</v>
      </c>
      <c r="K79" s="9" t="str">
        <f>IFERROR(__xludf.DUMMYFUNCTION("""COMPUTED_VALUE"""),"MT Urban")</f>
        <v>MT Urban</v>
      </c>
      <c r="L79" s="9" t="str">
        <f>IFERROR(__xludf.DUMMYFUNCTION("""COMPUTED_VALUE"""),"Elite")</f>
        <v>Elite</v>
      </c>
      <c r="M79" s="9" t="str">
        <f>IFERROR(__xludf.DUMMYFUNCTION("""COMPUTED_VALUE"""),"Unami")</f>
        <v>Unami</v>
      </c>
      <c r="N79" s="9" t="str">
        <f>IFERROR(__xludf.DUMMYFUNCTION("""COMPUTED_VALUE"""),"Sweetened")</f>
        <v>Sweetened</v>
      </c>
      <c r="O79" s="9" t="str">
        <f>IFERROR(__xludf.DUMMYFUNCTION("""COMPUTED_VALUE"""),"TFA")</f>
        <v>TFA</v>
      </c>
      <c r="P79" s="9">
        <f>IFERROR(__xludf.DUMMYFUNCTION("""COMPUTED_VALUE"""),220.0)</f>
        <v>220</v>
      </c>
      <c r="Q79" s="9" t="str">
        <f>IFERROR(__xludf.DUMMYFUNCTION("""COMPUTED_VALUE"""),"Q2'23")</f>
        <v>Q2'23</v>
      </c>
      <c r="R79" s="9">
        <f>IFERROR(__xludf.DUMMYFUNCTION("""COMPUTED_VALUE"""),10.211635754104826)</f>
        <v>10.21163575</v>
      </c>
    </row>
    <row r="80" ht="14.25" customHeight="1">
      <c r="A80" s="3" t="s">
        <v>10</v>
      </c>
      <c r="B80" s="3" t="s">
        <v>11</v>
      </c>
      <c r="C80" s="3" t="s">
        <v>12</v>
      </c>
      <c r="D80" s="3" t="s">
        <v>13</v>
      </c>
      <c r="E80" s="3" t="s">
        <v>29</v>
      </c>
      <c r="F80" s="3">
        <v>220.0</v>
      </c>
      <c r="G80" s="4" t="s">
        <v>21</v>
      </c>
      <c r="H80" s="3">
        <v>10.44450155929747</v>
      </c>
      <c r="K80" s="9" t="str">
        <f>IFERROR(__xludf.DUMMYFUNCTION("""COMPUTED_VALUE"""),"MT Urban")</f>
        <v>MT Urban</v>
      </c>
      <c r="L80" s="9" t="str">
        <f>IFERROR(__xludf.DUMMYFUNCTION("""COMPUTED_VALUE"""),"Elite")</f>
        <v>Elite</v>
      </c>
      <c r="M80" s="9" t="str">
        <f>IFERROR(__xludf.DUMMYFUNCTION("""COMPUTED_VALUE"""),"Unami")</f>
        <v>Unami</v>
      </c>
      <c r="N80" s="9" t="str">
        <f>IFERROR(__xludf.DUMMYFUNCTION("""COMPUTED_VALUE"""),"Sweetened")</f>
        <v>Sweetened</v>
      </c>
      <c r="O80" s="9" t="str">
        <f>IFERROR(__xludf.DUMMYFUNCTION("""COMPUTED_VALUE"""),"TFA")</f>
        <v>TFA</v>
      </c>
      <c r="P80" s="9">
        <f>IFERROR(__xludf.DUMMYFUNCTION("""COMPUTED_VALUE"""),220.0)</f>
        <v>220</v>
      </c>
      <c r="Q80" s="9" t="str">
        <f>IFERROR(__xludf.DUMMYFUNCTION("""COMPUTED_VALUE"""),"Q3'23")</f>
        <v>Q3'23</v>
      </c>
      <c r="R80" s="9">
        <f>IFERROR(__xludf.DUMMYFUNCTION("""COMPUTED_VALUE"""),10.44450155929747)</f>
        <v>10.44450156</v>
      </c>
    </row>
    <row r="81" ht="14.25" customHeight="1">
      <c r="A81" s="3" t="s">
        <v>10</v>
      </c>
      <c r="B81" s="3" t="s">
        <v>11</v>
      </c>
      <c r="C81" s="3" t="s">
        <v>12</v>
      </c>
      <c r="D81" s="3" t="s">
        <v>13</v>
      </c>
      <c r="E81" s="3" t="s">
        <v>29</v>
      </c>
      <c r="F81" s="3">
        <v>220.0</v>
      </c>
      <c r="G81" s="4" t="s">
        <v>22</v>
      </c>
      <c r="H81" s="3">
        <v>9.70791570145808</v>
      </c>
      <c r="K81" s="9" t="str">
        <f>IFERROR(__xludf.DUMMYFUNCTION("""COMPUTED_VALUE"""),"MT Urban")</f>
        <v>MT Urban</v>
      </c>
      <c r="L81" s="9" t="str">
        <f>IFERROR(__xludf.DUMMYFUNCTION("""COMPUTED_VALUE"""),"Elite")</f>
        <v>Elite</v>
      </c>
      <c r="M81" s="9" t="str">
        <f>IFERROR(__xludf.DUMMYFUNCTION("""COMPUTED_VALUE"""),"Unami")</f>
        <v>Unami</v>
      </c>
      <c r="N81" s="9" t="str">
        <f>IFERROR(__xludf.DUMMYFUNCTION("""COMPUTED_VALUE"""),"Sweetened")</f>
        <v>Sweetened</v>
      </c>
      <c r="O81" s="9" t="str">
        <f>IFERROR(__xludf.DUMMYFUNCTION("""COMPUTED_VALUE"""),"TFA")</f>
        <v>TFA</v>
      </c>
      <c r="P81" s="9">
        <f>IFERROR(__xludf.DUMMYFUNCTION("""COMPUTED_VALUE"""),220.0)</f>
        <v>220</v>
      </c>
      <c r="Q81" s="9" t="str">
        <f>IFERROR(__xludf.DUMMYFUNCTION("""COMPUTED_VALUE"""),"Q4'23")</f>
        <v>Q4'23</v>
      </c>
      <c r="R81" s="9">
        <f>IFERROR(__xludf.DUMMYFUNCTION("""COMPUTED_VALUE"""),9.70791570145808)</f>
        <v>9.707915701</v>
      </c>
    </row>
    <row r="82" ht="14.25" customHeight="1">
      <c r="A82" s="3" t="s">
        <v>10</v>
      </c>
      <c r="B82" s="6" t="s">
        <v>38</v>
      </c>
      <c r="C82" s="3" t="s">
        <v>39</v>
      </c>
      <c r="D82" s="3" t="s">
        <v>13</v>
      </c>
      <c r="E82" s="3" t="s">
        <v>14</v>
      </c>
      <c r="F82" s="3">
        <v>110.0</v>
      </c>
      <c r="G82" s="4" t="s">
        <v>15</v>
      </c>
      <c r="H82" s="3">
        <v>0.5466541796693127</v>
      </c>
      <c r="K82" s="9" t="str">
        <f>IFERROR(__xludf.DUMMYFUNCTION("""COMPUTED_VALUE"""),"MT Urban")</f>
        <v>MT Urban</v>
      </c>
      <c r="L82" s="9" t="str">
        <f>IFERROR(__xludf.DUMMYFUNCTION("""COMPUTED_VALUE"""),"Joyi")</f>
        <v>Joyi</v>
      </c>
      <c r="M82" s="9" t="str">
        <f>IFERROR(__xludf.DUMMYFUNCTION("""COMPUTED_VALUE"""),"Smartmilk")</f>
        <v>Smartmilk</v>
      </c>
      <c r="N82" s="9" t="str">
        <f>IFERROR(__xludf.DUMMYFUNCTION("""COMPUTED_VALUE"""),"Sweetened")</f>
        <v>Sweetened</v>
      </c>
      <c r="O82" s="9" t="str">
        <f>IFERROR(__xludf.DUMMYFUNCTION("""COMPUTED_VALUE"""),"Carton")</f>
        <v>Carton</v>
      </c>
      <c r="P82" s="9">
        <f>IFERROR(__xludf.DUMMYFUNCTION("""COMPUTED_VALUE"""),110.0)</f>
        <v>110</v>
      </c>
      <c r="Q82" s="9" t="str">
        <f>IFERROR(__xludf.DUMMYFUNCTION("""COMPUTED_VALUE"""),"Q1'22")</f>
        <v>Q1'22</v>
      </c>
      <c r="R82" s="9">
        <f>IFERROR(__xludf.DUMMYFUNCTION("""COMPUTED_VALUE"""),0.5466541796693127)</f>
        <v>0.5466541797</v>
      </c>
    </row>
    <row r="83" ht="14.25" customHeight="1">
      <c r="A83" s="3" t="s">
        <v>10</v>
      </c>
      <c r="B83" s="6" t="s">
        <v>38</v>
      </c>
      <c r="C83" s="3" t="s">
        <v>39</v>
      </c>
      <c r="D83" s="3" t="s">
        <v>13</v>
      </c>
      <c r="E83" s="3" t="s">
        <v>14</v>
      </c>
      <c r="F83" s="3">
        <v>110.0</v>
      </c>
      <c r="G83" s="4" t="s">
        <v>16</v>
      </c>
      <c r="H83" s="3">
        <v>0.4005980952835336</v>
      </c>
      <c r="K83" s="9" t="str">
        <f>IFERROR(__xludf.DUMMYFUNCTION("""COMPUTED_VALUE"""),"MT Urban")</f>
        <v>MT Urban</v>
      </c>
      <c r="L83" s="9" t="str">
        <f>IFERROR(__xludf.DUMMYFUNCTION("""COMPUTED_VALUE"""),"Joyi")</f>
        <v>Joyi</v>
      </c>
      <c r="M83" s="9" t="str">
        <f>IFERROR(__xludf.DUMMYFUNCTION("""COMPUTED_VALUE"""),"Smartmilk")</f>
        <v>Smartmilk</v>
      </c>
      <c r="N83" s="9" t="str">
        <f>IFERROR(__xludf.DUMMYFUNCTION("""COMPUTED_VALUE"""),"Sweetened")</f>
        <v>Sweetened</v>
      </c>
      <c r="O83" s="9" t="str">
        <f>IFERROR(__xludf.DUMMYFUNCTION("""COMPUTED_VALUE"""),"Carton")</f>
        <v>Carton</v>
      </c>
      <c r="P83" s="9">
        <f>IFERROR(__xludf.DUMMYFUNCTION("""COMPUTED_VALUE"""),110.0)</f>
        <v>110</v>
      </c>
      <c r="Q83" s="9" t="str">
        <f>IFERROR(__xludf.DUMMYFUNCTION("""COMPUTED_VALUE"""),"Q2'22")</f>
        <v>Q2'22</v>
      </c>
      <c r="R83" s="9">
        <f>IFERROR(__xludf.DUMMYFUNCTION("""COMPUTED_VALUE"""),0.4005980952835336)</f>
        <v>0.4005980953</v>
      </c>
    </row>
    <row r="84" ht="14.25" customHeight="1">
      <c r="A84" s="3" t="s">
        <v>10</v>
      </c>
      <c r="B84" s="6" t="s">
        <v>38</v>
      </c>
      <c r="C84" s="3" t="s">
        <v>39</v>
      </c>
      <c r="D84" s="3" t="s">
        <v>13</v>
      </c>
      <c r="E84" s="3" t="s">
        <v>14</v>
      </c>
      <c r="F84" s="3">
        <v>110.0</v>
      </c>
      <c r="G84" s="4" t="s">
        <v>17</v>
      </c>
      <c r="H84" s="3">
        <v>0.49856479773666784</v>
      </c>
      <c r="K84" s="9" t="str">
        <f>IFERROR(__xludf.DUMMYFUNCTION("""COMPUTED_VALUE"""),"MT Urban")</f>
        <v>MT Urban</v>
      </c>
      <c r="L84" s="9" t="str">
        <f>IFERROR(__xludf.DUMMYFUNCTION("""COMPUTED_VALUE"""),"Joyi")</f>
        <v>Joyi</v>
      </c>
      <c r="M84" s="9" t="str">
        <f>IFERROR(__xludf.DUMMYFUNCTION("""COMPUTED_VALUE"""),"Smartmilk")</f>
        <v>Smartmilk</v>
      </c>
      <c r="N84" s="9" t="str">
        <f>IFERROR(__xludf.DUMMYFUNCTION("""COMPUTED_VALUE"""),"Sweetened")</f>
        <v>Sweetened</v>
      </c>
      <c r="O84" s="9" t="str">
        <f>IFERROR(__xludf.DUMMYFUNCTION("""COMPUTED_VALUE"""),"Carton")</f>
        <v>Carton</v>
      </c>
      <c r="P84" s="9">
        <f>IFERROR(__xludf.DUMMYFUNCTION("""COMPUTED_VALUE"""),110.0)</f>
        <v>110</v>
      </c>
      <c r="Q84" s="9" t="str">
        <f>IFERROR(__xludf.DUMMYFUNCTION("""COMPUTED_VALUE"""),"Q3'22")</f>
        <v>Q3'22</v>
      </c>
      <c r="R84" s="9">
        <f>IFERROR(__xludf.DUMMYFUNCTION("""COMPUTED_VALUE"""),0.49856479773666784)</f>
        <v>0.4985647977</v>
      </c>
    </row>
    <row r="85" ht="14.25" customHeight="1">
      <c r="A85" s="3" t="s">
        <v>10</v>
      </c>
      <c r="B85" s="6" t="s">
        <v>38</v>
      </c>
      <c r="C85" s="3" t="s">
        <v>39</v>
      </c>
      <c r="D85" s="3" t="s">
        <v>13</v>
      </c>
      <c r="E85" s="3" t="s">
        <v>14</v>
      </c>
      <c r="F85" s="3">
        <v>110.0</v>
      </c>
      <c r="G85" s="4" t="s">
        <v>18</v>
      </c>
      <c r="H85" s="3">
        <v>0.6417284024080457</v>
      </c>
      <c r="K85" s="9" t="str">
        <f>IFERROR(__xludf.DUMMYFUNCTION("""COMPUTED_VALUE"""),"MT Urban")</f>
        <v>MT Urban</v>
      </c>
      <c r="L85" s="9" t="str">
        <f>IFERROR(__xludf.DUMMYFUNCTION("""COMPUTED_VALUE"""),"Joyi")</f>
        <v>Joyi</v>
      </c>
      <c r="M85" s="9" t="str">
        <f>IFERROR(__xludf.DUMMYFUNCTION("""COMPUTED_VALUE"""),"Smartmilk")</f>
        <v>Smartmilk</v>
      </c>
      <c r="N85" s="9" t="str">
        <f>IFERROR(__xludf.DUMMYFUNCTION("""COMPUTED_VALUE"""),"Sweetened")</f>
        <v>Sweetened</v>
      </c>
      <c r="O85" s="9" t="str">
        <f>IFERROR(__xludf.DUMMYFUNCTION("""COMPUTED_VALUE"""),"Carton")</f>
        <v>Carton</v>
      </c>
      <c r="P85" s="9">
        <f>IFERROR(__xludf.DUMMYFUNCTION("""COMPUTED_VALUE"""),110.0)</f>
        <v>110</v>
      </c>
      <c r="Q85" s="9" t="str">
        <f>IFERROR(__xludf.DUMMYFUNCTION("""COMPUTED_VALUE"""),"Q4'22")</f>
        <v>Q4'22</v>
      </c>
      <c r="R85" s="9">
        <f>IFERROR(__xludf.DUMMYFUNCTION("""COMPUTED_VALUE"""),0.6417284024080457)</f>
        <v>0.6417284024</v>
      </c>
    </row>
    <row r="86" ht="14.25" customHeight="1">
      <c r="A86" s="3" t="s">
        <v>10</v>
      </c>
      <c r="B86" s="6" t="s">
        <v>38</v>
      </c>
      <c r="C86" s="3" t="s">
        <v>39</v>
      </c>
      <c r="D86" s="3" t="s">
        <v>13</v>
      </c>
      <c r="E86" s="3" t="s">
        <v>14</v>
      </c>
      <c r="F86" s="3">
        <v>110.0</v>
      </c>
      <c r="G86" s="4" t="s">
        <v>19</v>
      </c>
      <c r="H86" s="3">
        <v>0.5678840542822252</v>
      </c>
      <c r="K86" s="9" t="str">
        <f>IFERROR(__xludf.DUMMYFUNCTION("""COMPUTED_VALUE"""),"MT Urban")</f>
        <v>MT Urban</v>
      </c>
      <c r="L86" s="9" t="str">
        <f>IFERROR(__xludf.DUMMYFUNCTION("""COMPUTED_VALUE"""),"Joyi")</f>
        <v>Joyi</v>
      </c>
      <c r="M86" s="9" t="str">
        <f>IFERROR(__xludf.DUMMYFUNCTION("""COMPUTED_VALUE"""),"Smartmilk")</f>
        <v>Smartmilk</v>
      </c>
      <c r="N86" s="9" t="str">
        <f>IFERROR(__xludf.DUMMYFUNCTION("""COMPUTED_VALUE"""),"Sweetened")</f>
        <v>Sweetened</v>
      </c>
      <c r="O86" s="9" t="str">
        <f>IFERROR(__xludf.DUMMYFUNCTION("""COMPUTED_VALUE"""),"Carton")</f>
        <v>Carton</v>
      </c>
      <c r="P86" s="9">
        <f>IFERROR(__xludf.DUMMYFUNCTION("""COMPUTED_VALUE"""),110.0)</f>
        <v>110</v>
      </c>
      <c r="Q86" s="9" t="str">
        <f>IFERROR(__xludf.DUMMYFUNCTION("""COMPUTED_VALUE"""),"Q1'23")</f>
        <v>Q1'23</v>
      </c>
      <c r="R86" s="9">
        <f>IFERROR(__xludf.DUMMYFUNCTION("""COMPUTED_VALUE"""),0.5678840542822252)</f>
        <v>0.5678840543</v>
      </c>
    </row>
    <row r="87" ht="14.25" customHeight="1">
      <c r="A87" s="3" t="s">
        <v>10</v>
      </c>
      <c r="B87" s="6" t="s">
        <v>38</v>
      </c>
      <c r="C87" s="3" t="s">
        <v>39</v>
      </c>
      <c r="D87" s="3" t="s">
        <v>13</v>
      </c>
      <c r="E87" s="3" t="s">
        <v>14</v>
      </c>
      <c r="F87" s="3">
        <v>110.0</v>
      </c>
      <c r="G87" s="4" t="s">
        <v>20</v>
      </c>
      <c r="H87" s="3">
        <v>0.42254493959408607</v>
      </c>
      <c r="K87" s="9" t="str">
        <f>IFERROR(__xludf.DUMMYFUNCTION("""COMPUTED_VALUE"""),"MT Urban")</f>
        <v>MT Urban</v>
      </c>
      <c r="L87" s="9" t="str">
        <f>IFERROR(__xludf.DUMMYFUNCTION("""COMPUTED_VALUE"""),"Joyi")</f>
        <v>Joyi</v>
      </c>
      <c r="M87" s="9" t="str">
        <f>IFERROR(__xludf.DUMMYFUNCTION("""COMPUTED_VALUE"""),"Smartmilk")</f>
        <v>Smartmilk</v>
      </c>
      <c r="N87" s="9" t="str">
        <f>IFERROR(__xludf.DUMMYFUNCTION("""COMPUTED_VALUE"""),"Sweetened")</f>
        <v>Sweetened</v>
      </c>
      <c r="O87" s="9" t="str">
        <f>IFERROR(__xludf.DUMMYFUNCTION("""COMPUTED_VALUE"""),"Carton")</f>
        <v>Carton</v>
      </c>
      <c r="P87" s="9">
        <f>IFERROR(__xludf.DUMMYFUNCTION("""COMPUTED_VALUE"""),110.0)</f>
        <v>110</v>
      </c>
      <c r="Q87" s="9" t="str">
        <f>IFERROR(__xludf.DUMMYFUNCTION("""COMPUTED_VALUE"""),"Q2'23")</f>
        <v>Q2'23</v>
      </c>
      <c r="R87" s="9">
        <f>IFERROR(__xludf.DUMMYFUNCTION("""COMPUTED_VALUE"""),0.42254493959408607)</f>
        <v>0.4225449396</v>
      </c>
    </row>
    <row r="88" ht="14.25" customHeight="1">
      <c r="A88" s="3" t="s">
        <v>10</v>
      </c>
      <c r="B88" s="6" t="s">
        <v>38</v>
      </c>
      <c r="C88" s="3" t="s">
        <v>39</v>
      </c>
      <c r="D88" s="3" t="s">
        <v>13</v>
      </c>
      <c r="E88" s="3" t="s">
        <v>14</v>
      </c>
      <c r="F88" s="3">
        <v>110.0</v>
      </c>
      <c r="G88" s="4" t="s">
        <v>21</v>
      </c>
      <c r="H88" s="3">
        <v>0.5646411646294199</v>
      </c>
      <c r="K88" s="9" t="str">
        <f>IFERROR(__xludf.DUMMYFUNCTION("""COMPUTED_VALUE"""),"MT Urban")</f>
        <v>MT Urban</v>
      </c>
      <c r="L88" s="9" t="str">
        <f>IFERROR(__xludf.DUMMYFUNCTION("""COMPUTED_VALUE"""),"Joyi")</f>
        <v>Joyi</v>
      </c>
      <c r="M88" s="9" t="str">
        <f>IFERROR(__xludf.DUMMYFUNCTION("""COMPUTED_VALUE"""),"Smartmilk")</f>
        <v>Smartmilk</v>
      </c>
      <c r="N88" s="9" t="str">
        <f>IFERROR(__xludf.DUMMYFUNCTION("""COMPUTED_VALUE"""),"Sweetened")</f>
        <v>Sweetened</v>
      </c>
      <c r="O88" s="9" t="str">
        <f>IFERROR(__xludf.DUMMYFUNCTION("""COMPUTED_VALUE"""),"Carton")</f>
        <v>Carton</v>
      </c>
      <c r="P88" s="9">
        <f>IFERROR(__xludf.DUMMYFUNCTION("""COMPUTED_VALUE"""),110.0)</f>
        <v>110</v>
      </c>
      <c r="Q88" s="9" t="str">
        <f>IFERROR(__xludf.DUMMYFUNCTION("""COMPUTED_VALUE"""),"Q3'23")</f>
        <v>Q3'23</v>
      </c>
      <c r="R88" s="9">
        <f>IFERROR(__xludf.DUMMYFUNCTION("""COMPUTED_VALUE"""),0.5646411646294199)</f>
        <v>0.5646411646</v>
      </c>
    </row>
    <row r="89" ht="14.25" customHeight="1">
      <c r="A89" s="3" t="s">
        <v>10</v>
      </c>
      <c r="B89" s="6" t="s">
        <v>38</v>
      </c>
      <c r="C89" s="3" t="s">
        <v>39</v>
      </c>
      <c r="D89" s="3" t="s">
        <v>13</v>
      </c>
      <c r="E89" s="3" t="s">
        <v>14</v>
      </c>
      <c r="F89" s="3">
        <v>110.0</v>
      </c>
      <c r="G89" s="4" t="s">
        <v>22</v>
      </c>
      <c r="H89" s="3">
        <v>0.5216095454024792</v>
      </c>
      <c r="K89" s="9" t="str">
        <f>IFERROR(__xludf.DUMMYFUNCTION("""COMPUTED_VALUE"""),"MT Urban")</f>
        <v>MT Urban</v>
      </c>
      <c r="L89" s="9" t="str">
        <f>IFERROR(__xludf.DUMMYFUNCTION("""COMPUTED_VALUE"""),"Joyi")</f>
        <v>Joyi</v>
      </c>
      <c r="M89" s="9" t="str">
        <f>IFERROR(__xludf.DUMMYFUNCTION("""COMPUTED_VALUE"""),"Smartmilk")</f>
        <v>Smartmilk</v>
      </c>
      <c r="N89" s="9" t="str">
        <f>IFERROR(__xludf.DUMMYFUNCTION("""COMPUTED_VALUE"""),"Sweetened")</f>
        <v>Sweetened</v>
      </c>
      <c r="O89" s="9" t="str">
        <f>IFERROR(__xludf.DUMMYFUNCTION("""COMPUTED_VALUE"""),"Carton")</f>
        <v>Carton</v>
      </c>
      <c r="P89" s="9">
        <f>IFERROR(__xludf.DUMMYFUNCTION("""COMPUTED_VALUE"""),110.0)</f>
        <v>110</v>
      </c>
      <c r="Q89" s="9" t="str">
        <f>IFERROR(__xludf.DUMMYFUNCTION("""COMPUTED_VALUE"""),"Q4'23")</f>
        <v>Q4'23</v>
      </c>
      <c r="R89" s="9">
        <f>IFERROR(__xludf.DUMMYFUNCTION("""COMPUTED_VALUE"""),0.5216095454024792)</f>
        <v>0.5216095454</v>
      </c>
    </row>
    <row r="90" ht="14.25" customHeight="1">
      <c r="A90" s="3" t="s">
        <v>10</v>
      </c>
      <c r="B90" s="6" t="s">
        <v>38</v>
      </c>
      <c r="C90" s="3" t="s">
        <v>39</v>
      </c>
      <c r="D90" s="3" t="s">
        <v>13</v>
      </c>
      <c r="E90" s="3" t="s">
        <v>14</v>
      </c>
      <c r="F90" s="3">
        <v>170.0</v>
      </c>
      <c r="G90" s="4" t="s">
        <v>15</v>
      </c>
      <c r="H90" s="3">
        <v>2.169509723368452</v>
      </c>
      <c r="K90" s="9" t="str">
        <f>IFERROR(__xludf.DUMMYFUNCTION("""COMPUTED_VALUE"""),"MT Urban")</f>
        <v>MT Urban</v>
      </c>
      <c r="L90" s="9" t="str">
        <f>IFERROR(__xludf.DUMMYFUNCTION("""COMPUTED_VALUE"""),"Joyi")</f>
        <v>Joyi</v>
      </c>
      <c r="M90" s="9" t="str">
        <f>IFERROR(__xludf.DUMMYFUNCTION("""COMPUTED_VALUE"""),"Smartmilk")</f>
        <v>Smartmilk</v>
      </c>
      <c r="N90" s="9" t="str">
        <f>IFERROR(__xludf.DUMMYFUNCTION("""COMPUTED_VALUE"""),"Sweetened")</f>
        <v>Sweetened</v>
      </c>
      <c r="O90" s="9" t="str">
        <f>IFERROR(__xludf.DUMMYFUNCTION("""COMPUTED_VALUE"""),"Carton")</f>
        <v>Carton</v>
      </c>
      <c r="P90" s="9">
        <f>IFERROR(__xludf.DUMMYFUNCTION("""COMPUTED_VALUE"""),170.0)</f>
        <v>170</v>
      </c>
      <c r="Q90" s="9" t="str">
        <f>IFERROR(__xludf.DUMMYFUNCTION("""COMPUTED_VALUE"""),"Q1'22")</f>
        <v>Q1'22</v>
      </c>
      <c r="R90" s="9">
        <f>IFERROR(__xludf.DUMMYFUNCTION("""COMPUTED_VALUE"""),2.169509723368452)</f>
        <v>2.169509723</v>
      </c>
    </row>
    <row r="91" ht="14.25" customHeight="1">
      <c r="A91" s="3" t="s">
        <v>10</v>
      </c>
      <c r="B91" s="6" t="s">
        <v>38</v>
      </c>
      <c r="C91" s="3" t="s">
        <v>39</v>
      </c>
      <c r="D91" s="3" t="s">
        <v>13</v>
      </c>
      <c r="E91" s="3" t="s">
        <v>14</v>
      </c>
      <c r="F91" s="3">
        <v>170.0</v>
      </c>
      <c r="G91" s="4" t="s">
        <v>16</v>
      </c>
      <c r="H91" s="3">
        <v>1.8975622099202905</v>
      </c>
      <c r="K91" s="9" t="str">
        <f>IFERROR(__xludf.DUMMYFUNCTION("""COMPUTED_VALUE"""),"MT Urban")</f>
        <v>MT Urban</v>
      </c>
      <c r="L91" s="9" t="str">
        <f>IFERROR(__xludf.DUMMYFUNCTION("""COMPUTED_VALUE"""),"Joyi")</f>
        <v>Joyi</v>
      </c>
      <c r="M91" s="9" t="str">
        <f>IFERROR(__xludf.DUMMYFUNCTION("""COMPUTED_VALUE"""),"Smartmilk")</f>
        <v>Smartmilk</v>
      </c>
      <c r="N91" s="9" t="str">
        <f>IFERROR(__xludf.DUMMYFUNCTION("""COMPUTED_VALUE"""),"Sweetened")</f>
        <v>Sweetened</v>
      </c>
      <c r="O91" s="9" t="str">
        <f>IFERROR(__xludf.DUMMYFUNCTION("""COMPUTED_VALUE"""),"Carton")</f>
        <v>Carton</v>
      </c>
      <c r="P91" s="9">
        <f>IFERROR(__xludf.DUMMYFUNCTION("""COMPUTED_VALUE"""),170.0)</f>
        <v>170</v>
      </c>
      <c r="Q91" s="9" t="str">
        <f>IFERROR(__xludf.DUMMYFUNCTION("""COMPUTED_VALUE"""),"Q2'22")</f>
        <v>Q2'22</v>
      </c>
      <c r="R91" s="9">
        <f>IFERROR(__xludf.DUMMYFUNCTION("""COMPUTED_VALUE"""),1.8975622099202905)</f>
        <v>1.89756221</v>
      </c>
    </row>
    <row r="92" ht="14.25" customHeight="1">
      <c r="A92" s="3" t="s">
        <v>10</v>
      </c>
      <c r="B92" s="6" t="s">
        <v>38</v>
      </c>
      <c r="C92" s="3" t="s">
        <v>39</v>
      </c>
      <c r="D92" s="3" t="s">
        <v>13</v>
      </c>
      <c r="E92" s="3" t="s">
        <v>14</v>
      </c>
      <c r="F92" s="3">
        <v>170.0</v>
      </c>
      <c r="G92" s="4" t="s">
        <v>17</v>
      </c>
      <c r="H92" s="3">
        <v>2.1161237121392373</v>
      </c>
      <c r="K92" s="9" t="str">
        <f>IFERROR(__xludf.DUMMYFUNCTION("""COMPUTED_VALUE"""),"MT Urban")</f>
        <v>MT Urban</v>
      </c>
      <c r="L92" s="9" t="str">
        <f>IFERROR(__xludf.DUMMYFUNCTION("""COMPUTED_VALUE"""),"Joyi")</f>
        <v>Joyi</v>
      </c>
      <c r="M92" s="9" t="str">
        <f>IFERROR(__xludf.DUMMYFUNCTION("""COMPUTED_VALUE"""),"Smartmilk")</f>
        <v>Smartmilk</v>
      </c>
      <c r="N92" s="9" t="str">
        <f>IFERROR(__xludf.DUMMYFUNCTION("""COMPUTED_VALUE"""),"Sweetened")</f>
        <v>Sweetened</v>
      </c>
      <c r="O92" s="9" t="str">
        <f>IFERROR(__xludf.DUMMYFUNCTION("""COMPUTED_VALUE"""),"Carton")</f>
        <v>Carton</v>
      </c>
      <c r="P92" s="9">
        <f>IFERROR(__xludf.DUMMYFUNCTION("""COMPUTED_VALUE"""),170.0)</f>
        <v>170</v>
      </c>
      <c r="Q92" s="9" t="str">
        <f>IFERROR(__xludf.DUMMYFUNCTION("""COMPUTED_VALUE"""),"Q3'22")</f>
        <v>Q3'22</v>
      </c>
      <c r="R92" s="9">
        <f>IFERROR(__xludf.DUMMYFUNCTION("""COMPUTED_VALUE"""),2.1161237121392373)</f>
        <v>2.116123712</v>
      </c>
    </row>
    <row r="93" ht="14.25" customHeight="1">
      <c r="A93" s="3" t="s">
        <v>10</v>
      </c>
      <c r="B93" s="6" t="s">
        <v>38</v>
      </c>
      <c r="C93" s="3" t="s">
        <v>39</v>
      </c>
      <c r="D93" s="3" t="s">
        <v>13</v>
      </c>
      <c r="E93" s="3" t="s">
        <v>14</v>
      </c>
      <c r="F93" s="3">
        <v>170.0</v>
      </c>
      <c r="G93" s="4" t="s">
        <v>18</v>
      </c>
      <c r="H93" s="3">
        <v>2.368193487556217</v>
      </c>
      <c r="K93" s="9" t="str">
        <f>IFERROR(__xludf.DUMMYFUNCTION("""COMPUTED_VALUE"""),"MT Urban")</f>
        <v>MT Urban</v>
      </c>
      <c r="L93" s="9" t="str">
        <f>IFERROR(__xludf.DUMMYFUNCTION("""COMPUTED_VALUE"""),"Joyi")</f>
        <v>Joyi</v>
      </c>
      <c r="M93" s="9" t="str">
        <f>IFERROR(__xludf.DUMMYFUNCTION("""COMPUTED_VALUE"""),"Smartmilk")</f>
        <v>Smartmilk</v>
      </c>
      <c r="N93" s="9" t="str">
        <f>IFERROR(__xludf.DUMMYFUNCTION("""COMPUTED_VALUE"""),"Sweetened")</f>
        <v>Sweetened</v>
      </c>
      <c r="O93" s="9" t="str">
        <f>IFERROR(__xludf.DUMMYFUNCTION("""COMPUTED_VALUE"""),"Carton")</f>
        <v>Carton</v>
      </c>
      <c r="P93" s="9">
        <f>IFERROR(__xludf.DUMMYFUNCTION("""COMPUTED_VALUE"""),170.0)</f>
        <v>170</v>
      </c>
      <c r="Q93" s="9" t="str">
        <f>IFERROR(__xludf.DUMMYFUNCTION("""COMPUTED_VALUE"""),"Q4'22")</f>
        <v>Q4'22</v>
      </c>
      <c r="R93" s="9">
        <f>IFERROR(__xludf.DUMMYFUNCTION("""COMPUTED_VALUE"""),2.368193487556217)</f>
        <v>2.368193488</v>
      </c>
    </row>
    <row r="94" ht="14.25" customHeight="1">
      <c r="A94" s="3" t="s">
        <v>10</v>
      </c>
      <c r="B94" s="6" t="s">
        <v>38</v>
      </c>
      <c r="C94" s="3" t="s">
        <v>39</v>
      </c>
      <c r="D94" s="3" t="s">
        <v>13</v>
      </c>
      <c r="E94" s="3" t="s">
        <v>14</v>
      </c>
      <c r="F94" s="3">
        <v>170.0</v>
      </c>
      <c r="G94" s="4" t="s">
        <v>19</v>
      </c>
      <c r="H94" s="3">
        <v>2.092934739132025</v>
      </c>
      <c r="K94" s="9" t="str">
        <f>IFERROR(__xludf.DUMMYFUNCTION("""COMPUTED_VALUE"""),"MT Urban")</f>
        <v>MT Urban</v>
      </c>
      <c r="L94" s="9" t="str">
        <f>IFERROR(__xludf.DUMMYFUNCTION("""COMPUTED_VALUE"""),"Joyi")</f>
        <v>Joyi</v>
      </c>
      <c r="M94" s="9" t="str">
        <f>IFERROR(__xludf.DUMMYFUNCTION("""COMPUTED_VALUE"""),"Smartmilk")</f>
        <v>Smartmilk</v>
      </c>
      <c r="N94" s="9" t="str">
        <f>IFERROR(__xludf.DUMMYFUNCTION("""COMPUTED_VALUE"""),"Sweetened")</f>
        <v>Sweetened</v>
      </c>
      <c r="O94" s="9" t="str">
        <f>IFERROR(__xludf.DUMMYFUNCTION("""COMPUTED_VALUE"""),"Carton")</f>
        <v>Carton</v>
      </c>
      <c r="P94" s="9">
        <f>IFERROR(__xludf.DUMMYFUNCTION("""COMPUTED_VALUE"""),170.0)</f>
        <v>170</v>
      </c>
      <c r="Q94" s="9" t="str">
        <f>IFERROR(__xludf.DUMMYFUNCTION("""COMPUTED_VALUE"""),"Q1'23")</f>
        <v>Q1'23</v>
      </c>
      <c r="R94" s="9">
        <f>IFERROR(__xludf.DUMMYFUNCTION("""COMPUTED_VALUE"""),2.092934739132025)</f>
        <v>2.092934739</v>
      </c>
    </row>
    <row r="95" ht="14.25" customHeight="1">
      <c r="A95" s="3" t="s">
        <v>10</v>
      </c>
      <c r="B95" s="6" t="s">
        <v>38</v>
      </c>
      <c r="C95" s="3" t="s">
        <v>39</v>
      </c>
      <c r="D95" s="3" t="s">
        <v>13</v>
      </c>
      <c r="E95" s="3" t="s">
        <v>14</v>
      </c>
      <c r="F95" s="3">
        <v>170.0</v>
      </c>
      <c r="G95" s="4" t="s">
        <v>20</v>
      </c>
      <c r="H95" s="3">
        <v>1.6845873585406395</v>
      </c>
      <c r="K95" s="9" t="str">
        <f>IFERROR(__xludf.DUMMYFUNCTION("""COMPUTED_VALUE"""),"MT Urban")</f>
        <v>MT Urban</v>
      </c>
      <c r="L95" s="9" t="str">
        <f>IFERROR(__xludf.DUMMYFUNCTION("""COMPUTED_VALUE"""),"Joyi")</f>
        <v>Joyi</v>
      </c>
      <c r="M95" s="9" t="str">
        <f>IFERROR(__xludf.DUMMYFUNCTION("""COMPUTED_VALUE"""),"Smartmilk")</f>
        <v>Smartmilk</v>
      </c>
      <c r="N95" s="9" t="str">
        <f>IFERROR(__xludf.DUMMYFUNCTION("""COMPUTED_VALUE"""),"Sweetened")</f>
        <v>Sweetened</v>
      </c>
      <c r="O95" s="9" t="str">
        <f>IFERROR(__xludf.DUMMYFUNCTION("""COMPUTED_VALUE"""),"Carton")</f>
        <v>Carton</v>
      </c>
      <c r="P95" s="9">
        <f>IFERROR(__xludf.DUMMYFUNCTION("""COMPUTED_VALUE"""),170.0)</f>
        <v>170</v>
      </c>
      <c r="Q95" s="9" t="str">
        <f>IFERROR(__xludf.DUMMYFUNCTION("""COMPUTED_VALUE"""),"Q2'23")</f>
        <v>Q2'23</v>
      </c>
      <c r="R95" s="9">
        <f>IFERROR(__xludf.DUMMYFUNCTION("""COMPUTED_VALUE"""),1.6845873585406395)</f>
        <v>1.684587359</v>
      </c>
    </row>
    <row r="96" ht="14.25" customHeight="1">
      <c r="A96" s="3" t="s">
        <v>10</v>
      </c>
      <c r="B96" s="6" t="s">
        <v>38</v>
      </c>
      <c r="C96" s="3" t="s">
        <v>39</v>
      </c>
      <c r="D96" s="3" t="s">
        <v>13</v>
      </c>
      <c r="E96" s="3" t="s">
        <v>14</v>
      </c>
      <c r="F96" s="3">
        <v>170.0</v>
      </c>
      <c r="G96" s="4" t="s">
        <v>21</v>
      </c>
      <c r="H96" s="3">
        <v>1.8888573880360713</v>
      </c>
      <c r="K96" s="9" t="str">
        <f>IFERROR(__xludf.DUMMYFUNCTION("""COMPUTED_VALUE"""),"MT Urban")</f>
        <v>MT Urban</v>
      </c>
      <c r="L96" s="9" t="str">
        <f>IFERROR(__xludf.DUMMYFUNCTION("""COMPUTED_VALUE"""),"Joyi")</f>
        <v>Joyi</v>
      </c>
      <c r="M96" s="9" t="str">
        <f>IFERROR(__xludf.DUMMYFUNCTION("""COMPUTED_VALUE"""),"Smartmilk")</f>
        <v>Smartmilk</v>
      </c>
      <c r="N96" s="9" t="str">
        <f>IFERROR(__xludf.DUMMYFUNCTION("""COMPUTED_VALUE"""),"Sweetened")</f>
        <v>Sweetened</v>
      </c>
      <c r="O96" s="9" t="str">
        <f>IFERROR(__xludf.DUMMYFUNCTION("""COMPUTED_VALUE"""),"Carton")</f>
        <v>Carton</v>
      </c>
      <c r="P96" s="9">
        <f>IFERROR(__xludf.DUMMYFUNCTION("""COMPUTED_VALUE"""),170.0)</f>
        <v>170</v>
      </c>
      <c r="Q96" s="9" t="str">
        <f>IFERROR(__xludf.DUMMYFUNCTION("""COMPUTED_VALUE"""),"Q3'23")</f>
        <v>Q3'23</v>
      </c>
      <c r="R96" s="9">
        <f>IFERROR(__xludf.DUMMYFUNCTION("""COMPUTED_VALUE"""),1.8888573880360713)</f>
        <v>1.888857388</v>
      </c>
    </row>
    <row r="97" ht="14.25" customHeight="1">
      <c r="A97" s="3" t="s">
        <v>10</v>
      </c>
      <c r="B97" s="6" t="s">
        <v>38</v>
      </c>
      <c r="C97" s="3" t="s">
        <v>39</v>
      </c>
      <c r="D97" s="3" t="s">
        <v>13</v>
      </c>
      <c r="E97" s="3" t="s">
        <v>14</v>
      </c>
      <c r="F97" s="3">
        <v>170.0</v>
      </c>
      <c r="G97" s="4" t="s">
        <v>22</v>
      </c>
      <c r="H97" s="3">
        <v>1.8933988520238199</v>
      </c>
      <c r="K97" s="9" t="str">
        <f>IFERROR(__xludf.DUMMYFUNCTION("""COMPUTED_VALUE"""),"MT Urban")</f>
        <v>MT Urban</v>
      </c>
      <c r="L97" s="9" t="str">
        <f>IFERROR(__xludf.DUMMYFUNCTION("""COMPUTED_VALUE"""),"Joyi")</f>
        <v>Joyi</v>
      </c>
      <c r="M97" s="9" t="str">
        <f>IFERROR(__xludf.DUMMYFUNCTION("""COMPUTED_VALUE"""),"Smartmilk")</f>
        <v>Smartmilk</v>
      </c>
      <c r="N97" s="9" t="str">
        <f>IFERROR(__xludf.DUMMYFUNCTION("""COMPUTED_VALUE"""),"Sweetened")</f>
        <v>Sweetened</v>
      </c>
      <c r="O97" s="9" t="str">
        <f>IFERROR(__xludf.DUMMYFUNCTION("""COMPUTED_VALUE"""),"Carton")</f>
        <v>Carton</v>
      </c>
      <c r="P97" s="9">
        <f>IFERROR(__xludf.DUMMYFUNCTION("""COMPUTED_VALUE"""),170.0)</f>
        <v>170</v>
      </c>
      <c r="Q97" s="9" t="str">
        <f>IFERROR(__xludf.DUMMYFUNCTION("""COMPUTED_VALUE"""),"Q4'23")</f>
        <v>Q4'23</v>
      </c>
      <c r="R97" s="9">
        <f>IFERROR(__xludf.DUMMYFUNCTION("""COMPUTED_VALUE"""),1.8933988520238199)</f>
        <v>1.893398852</v>
      </c>
    </row>
    <row r="98" ht="14.25" customHeight="1">
      <c r="A98" s="3" t="s">
        <v>10</v>
      </c>
      <c r="B98" s="6" t="s">
        <v>38</v>
      </c>
      <c r="C98" s="3" t="s">
        <v>40</v>
      </c>
      <c r="D98" s="3" t="s">
        <v>31</v>
      </c>
      <c r="E98" s="3" t="s">
        <v>14</v>
      </c>
      <c r="F98" s="3">
        <v>180.0</v>
      </c>
      <c r="G98" s="4" t="s">
        <v>15</v>
      </c>
      <c r="H98" s="3">
        <v>1.4702908600772762</v>
      </c>
      <c r="K98" s="9" t="str">
        <f>IFERROR(__xludf.DUMMYFUNCTION("""COMPUTED_VALUE"""),"MT Urban")</f>
        <v>MT Urban</v>
      </c>
      <c r="L98" s="9" t="str">
        <f>IFERROR(__xludf.DUMMYFUNCTION("""COMPUTED_VALUE"""),"Joyi")</f>
        <v>Joyi</v>
      </c>
      <c r="M98" s="9" t="str">
        <f>IFERROR(__xludf.DUMMYFUNCTION("""COMPUTED_VALUE"""),"Star")</f>
        <v>Star</v>
      </c>
      <c r="N98" s="9" t="str">
        <f>IFERROR(__xludf.DUMMYFUNCTION("""COMPUTED_VALUE"""),"Strawberry")</f>
        <v>Strawberry</v>
      </c>
      <c r="O98" s="9" t="str">
        <f>IFERROR(__xludf.DUMMYFUNCTION("""COMPUTED_VALUE"""),"Carton")</f>
        <v>Carton</v>
      </c>
      <c r="P98" s="9">
        <f>IFERROR(__xludf.DUMMYFUNCTION("""COMPUTED_VALUE"""),180.0)</f>
        <v>180</v>
      </c>
      <c r="Q98" s="9" t="str">
        <f>IFERROR(__xludf.DUMMYFUNCTION("""COMPUTED_VALUE"""),"Q1'22")</f>
        <v>Q1'22</v>
      </c>
      <c r="R98" s="9">
        <f>IFERROR(__xludf.DUMMYFUNCTION("""COMPUTED_VALUE"""),1.4702908600772762)</f>
        <v>1.47029086</v>
      </c>
    </row>
    <row r="99" ht="14.25" customHeight="1">
      <c r="A99" s="3" t="s">
        <v>10</v>
      </c>
      <c r="B99" s="6" t="s">
        <v>38</v>
      </c>
      <c r="C99" s="3" t="s">
        <v>40</v>
      </c>
      <c r="D99" s="3" t="s">
        <v>31</v>
      </c>
      <c r="E99" s="3" t="s">
        <v>14</v>
      </c>
      <c r="F99" s="3">
        <v>180.0</v>
      </c>
      <c r="G99" s="4" t="s">
        <v>16</v>
      </c>
      <c r="H99" s="3">
        <v>1.7264857683220738</v>
      </c>
      <c r="K99" s="9" t="str">
        <f>IFERROR(__xludf.DUMMYFUNCTION("""COMPUTED_VALUE"""),"MT Urban")</f>
        <v>MT Urban</v>
      </c>
      <c r="L99" s="9" t="str">
        <f>IFERROR(__xludf.DUMMYFUNCTION("""COMPUTED_VALUE"""),"Joyi")</f>
        <v>Joyi</v>
      </c>
      <c r="M99" s="9" t="str">
        <f>IFERROR(__xludf.DUMMYFUNCTION("""COMPUTED_VALUE"""),"Star")</f>
        <v>Star</v>
      </c>
      <c r="N99" s="9" t="str">
        <f>IFERROR(__xludf.DUMMYFUNCTION("""COMPUTED_VALUE"""),"Strawberry")</f>
        <v>Strawberry</v>
      </c>
      <c r="O99" s="9" t="str">
        <f>IFERROR(__xludf.DUMMYFUNCTION("""COMPUTED_VALUE"""),"Carton")</f>
        <v>Carton</v>
      </c>
      <c r="P99" s="9">
        <f>IFERROR(__xludf.DUMMYFUNCTION("""COMPUTED_VALUE"""),180.0)</f>
        <v>180</v>
      </c>
      <c r="Q99" s="9" t="str">
        <f>IFERROR(__xludf.DUMMYFUNCTION("""COMPUTED_VALUE"""),"Q2'22")</f>
        <v>Q2'22</v>
      </c>
      <c r="R99" s="9">
        <f>IFERROR(__xludf.DUMMYFUNCTION("""COMPUTED_VALUE"""),1.7264857683220738)</f>
        <v>1.726485768</v>
      </c>
    </row>
    <row r="100" ht="14.25" customHeight="1">
      <c r="A100" s="3" t="s">
        <v>10</v>
      </c>
      <c r="B100" s="6" t="s">
        <v>38</v>
      </c>
      <c r="C100" s="3" t="s">
        <v>40</v>
      </c>
      <c r="D100" s="3" t="s">
        <v>31</v>
      </c>
      <c r="E100" s="3" t="s">
        <v>14</v>
      </c>
      <c r="F100" s="3">
        <v>180.0</v>
      </c>
      <c r="G100" s="4" t="s">
        <v>17</v>
      </c>
      <c r="H100" s="3">
        <v>1.5621003153586692</v>
      </c>
      <c r="K100" s="9" t="str">
        <f>IFERROR(__xludf.DUMMYFUNCTION("""COMPUTED_VALUE"""),"MT Urban")</f>
        <v>MT Urban</v>
      </c>
      <c r="L100" s="9" t="str">
        <f>IFERROR(__xludf.DUMMYFUNCTION("""COMPUTED_VALUE"""),"Joyi")</f>
        <v>Joyi</v>
      </c>
      <c r="M100" s="9" t="str">
        <f>IFERROR(__xludf.DUMMYFUNCTION("""COMPUTED_VALUE"""),"Star")</f>
        <v>Star</v>
      </c>
      <c r="N100" s="9" t="str">
        <f>IFERROR(__xludf.DUMMYFUNCTION("""COMPUTED_VALUE"""),"Strawberry")</f>
        <v>Strawberry</v>
      </c>
      <c r="O100" s="9" t="str">
        <f>IFERROR(__xludf.DUMMYFUNCTION("""COMPUTED_VALUE"""),"Carton")</f>
        <v>Carton</v>
      </c>
      <c r="P100" s="9">
        <f>IFERROR(__xludf.DUMMYFUNCTION("""COMPUTED_VALUE"""),180.0)</f>
        <v>180</v>
      </c>
      <c r="Q100" s="9" t="str">
        <f>IFERROR(__xludf.DUMMYFUNCTION("""COMPUTED_VALUE"""),"Q3'22")</f>
        <v>Q3'22</v>
      </c>
      <c r="R100" s="9">
        <f>IFERROR(__xludf.DUMMYFUNCTION("""COMPUTED_VALUE"""),1.5621003153586692)</f>
        <v>1.562100315</v>
      </c>
    </row>
    <row r="101" ht="14.25" customHeight="1">
      <c r="A101" s="3" t="s">
        <v>10</v>
      </c>
      <c r="B101" s="6" t="s">
        <v>38</v>
      </c>
      <c r="C101" s="3" t="s">
        <v>40</v>
      </c>
      <c r="D101" s="3" t="s">
        <v>31</v>
      </c>
      <c r="E101" s="3" t="s">
        <v>14</v>
      </c>
      <c r="F101" s="3">
        <v>180.0</v>
      </c>
      <c r="G101" s="4" t="s">
        <v>18</v>
      </c>
      <c r="H101" s="3">
        <v>1.3962256055435205</v>
      </c>
      <c r="K101" s="9" t="str">
        <f>IFERROR(__xludf.DUMMYFUNCTION("""COMPUTED_VALUE"""),"MT Urban")</f>
        <v>MT Urban</v>
      </c>
      <c r="L101" s="9" t="str">
        <f>IFERROR(__xludf.DUMMYFUNCTION("""COMPUTED_VALUE"""),"Joyi")</f>
        <v>Joyi</v>
      </c>
      <c r="M101" s="9" t="str">
        <f>IFERROR(__xludf.DUMMYFUNCTION("""COMPUTED_VALUE"""),"Star")</f>
        <v>Star</v>
      </c>
      <c r="N101" s="9" t="str">
        <f>IFERROR(__xludf.DUMMYFUNCTION("""COMPUTED_VALUE"""),"Strawberry")</f>
        <v>Strawberry</v>
      </c>
      <c r="O101" s="9" t="str">
        <f>IFERROR(__xludf.DUMMYFUNCTION("""COMPUTED_VALUE"""),"Carton")</f>
        <v>Carton</v>
      </c>
      <c r="P101" s="9">
        <f>IFERROR(__xludf.DUMMYFUNCTION("""COMPUTED_VALUE"""),180.0)</f>
        <v>180</v>
      </c>
      <c r="Q101" s="9" t="str">
        <f>IFERROR(__xludf.DUMMYFUNCTION("""COMPUTED_VALUE"""),"Q4'22")</f>
        <v>Q4'22</v>
      </c>
      <c r="R101" s="9">
        <f>IFERROR(__xludf.DUMMYFUNCTION("""COMPUTED_VALUE"""),1.3962256055435205)</f>
        <v>1.396225606</v>
      </c>
    </row>
    <row r="102" ht="14.25" customHeight="1">
      <c r="A102" s="3" t="s">
        <v>10</v>
      </c>
      <c r="B102" s="6" t="s">
        <v>38</v>
      </c>
      <c r="C102" s="3" t="s">
        <v>40</v>
      </c>
      <c r="D102" s="3" t="s">
        <v>31</v>
      </c>
      <c r="E102" s="3" t="s">
        <v>14</v>
      </c>
      <c r="F102" s="3">
        <v>180.0</v>
      </c>
      <c r="G102" s="4" t="s">
        <v>19</v>
      </c>
      <c r="H102" s="3">
        <v>1.201067478955655</v>
      </c>
      <c r="K102" s="9" t="str">
        <f>IFERROR(__xludf.DUMMYFUNCTION("""COMPUTED_VALUE"""),"MT Urban")</f>
        <v>MT Urban</v>
      </c>
      <c r="L102" s="9" t="str">
        <f>IFERROR(__xludf.DUMMYFUNCTION("""COMPUTED_VALUE"""),"Joyi")</f>
        <v>Joyi</v>
      </c>
      <c r="M102" s="9" t="str">
        <f>IFERROR(__xludf.DUMMYFUNCTION("""COMPUTED_VALUE"""),"Star")</f>
        <v>Star</v>
      </c>
      <c r="N102" s="9" t="str">
        <f>IFERROR(__xludf.DUMMYFUNCTION("""COMPUTED_VALUE"""),"Strawberry")</f>
        <v>Strawberry</v>
      </c>
      <c r="O102" s="9" t="str">
        <f>IFERROR(__xludf.DUMMYFUNCTION("""COMPUTED_VALUE"""),"Carton")</f>
        <v>Carton</v>
      </c>
      <c r="P102" s="9">
        <f>IFERROR(__xludf.DUMMYFUNCTION("""COMPUTED_VALUE"""),180.0)</f>
        <v>180</v>
      </c>
      <c r="Q102" s="9" t="str">
        <f>IFERROR(__xludf.DUMMYFUNCTION("""COMPUTED_VALUE"""),"Q1'23")</f>
        <v>Q1'23</v>
      </c>
      <c r="R102" s="9">
        <f>IFERROR(__xludf.DUMMYFUNCTION("""COMPUTED_VALUE"""),1.201067478955655)</f>
        <v>1.201067479</v>
      </c>
    </row>
    <row r="103" ht="14.25" customHeight="1">
      <c r="A103" s="3" t="s">
        <v>10</v>
      </c>
      <c r="B103" s="6" t="s">
        <v>38</v>
      </c>
      <c r="C103" s="3" t="s">
        <v>40</v>
      </c>
      <c r="D103" s="3" t="s">
        <v>31</v>
      </c>
      <c r="E103" s="3" t="s">
        <v>14</v>
      </c>
      <c r="F103" s="3">
        <v>180.0</v>
      </c>
      <c r="G103" s="4" t="s">
        <v>20</v>
      </c>
      <c r="H103" s="3">
        <v>1.0294677640070906</v>
      </c>
      <c r="K103" s="9" t="str">
        <f>IFERROR(__xludf.DUMMYFUNCTION("""COMPUTED_VALUE"""),"MT Urban")</f>
        <v>MT Urban</v>
      </c>
      <c r="L103" s="9" t="str">
        <f>IFERROR(__xludf.DUMMYFUNCTION("""COMPUTED_VALUE"""),"Joyi")</f>
        <v>Joyi</v>
      </c>
      <c r="M103" s="9" t="str">
        <f>IFERROR(__xludf.DUMMYFUNCTION("""COMPUTED_VALUE"""),"Star")</f>
        <v>Star</v>
      </c>
      <c r="N103" s="9" t="str">
        <f>IFERROR(__xludf.DUMMYFUNCTION("""COMPUTED_VALUE"""),"Strawberry")</f>
        <v>Strawberry</v>
      </c>
      <c r="O103" s="9" t="str">
        <f>IFERROR(__xludf.DUMMYFUNCTION("""COMPUTED_VALUE"""),"Carton")</f>
        <v>Carton</v>
      </c>
      <c r="P103" s="9">
        <f>IFERROR(__xludf.DUMMYFUNCTION("""COMPUTED_VALUE"""),180.0)</f>
        <v>180</v>
      </c>
      <c r="Q103" s="9" t="str">
        <f>IFERROR(__xludf.DUMMYFUNCTION("""COMPUTED_VALUE"""),"Q2'23")</f>
        <v>Q2'23</v>
      </c>
      <c r="R103" s="9">
        <f>IFERROR(__xludf.DUMMYFUNCTION("""COMPUTED_VALUE"""),1.0294677640070906)</f>
        <v>1.029467764</v>
      </c>
    </row>
    <row r="104" ht="14.25" customHeight="1">
      <c r="A104" s="3" t="s">
        <v>10</v>
      </c>
      <c r="B104" s="6" t="s">
        <v>38</v>
      </c>
      <c r="C104" s="3" t="s">
        <v>40</v>
      </c>
      <c r="D104" s="3" t="s">
        <v>31</v>
      </c>
      <c r="E104" s="3" t="s">
        <v>14</v>
      </c>
      <c r="F104" s="3">
        <v>180.0</v>
      </c>
      <c r="G104" s="4" t="s">
        <v>21</v>
      </c>
      <c r="H104" s="3">
        <v>1.0063142640411642</v>
      </c>
      <c r="K104" s="9" t="str">
        <f>IFERROR(__xludf.DUMMYFUNCTION("""COMPUTED_VALUE"""),"MT Urban")</f>
        <v>MT Urban</v>
      </c>
      <c r="L104" s="9" t="str">
        <f>IFERROR(__xludf.DUMMYFUNCTION("""COMPUTED_VALUE"""),"Joyi")</f>
        <v>Joyi</v>
      </c>
      <c r="M104" s="9" t="str">
        <f>IFERROR(__xludf.DUMMYFUNCTION("""COMPUTED_VALUE"""),"Star")</f>
        <v>Star</v>
      </c>
      <c r="N104" s="9" t="str">
        <f>IFERROR(__xludf.DUMMYFUNCTION("""COMPUTED_VALUE"""),"Strawberry")</f>
        <v>Strawberry</v>
      </c>
      <c r="O104" s="9" t="str">
        <f>IFERROR(__xludf.DUMMYFUNCTION("""COMPUTED_VALUE"""),"Carton")</f>
        <v>Carton</v>
      </c>
      <c r="P104" s="9">
        <f>IFERROR(__xludf.DUMMYFUNCTION("""COMPUTED_VALUE"""),180.0)</f>
        <v>180</v>
      </c>
      <c r="Q104" s="9" t="str">
        <f>IFERROR(__xludf.DUMMYFUNCTION("""COMPUTED_VALUE"""),"Q3'23")</f>
        <v>Q3'23</v>
      </c>
      <c r="R104" s="9">
        <f>IFERROR(__xludf.DUMMYFUNCTION("""COMPUTED_VALUE"""),1.0063142640411642)</f>
        <v>1.006314264</v>
      </c>
    </row>
    <row r="105" ht="14.25" customHeight="1">
      <c r="A105" s="3" t="s">
        <v>10</v>
      </c>
      <c r="B105" s="6" t="s">
        <v>38</v>
      </c>
      <c r="C105" s="3" t="s">
        <v>40</v>
      </c>
      <c r="D105" s="3" t="s">
        <v>31</v>
      </c>
      <c r="E105" s="3" t="s">
        <v>14</v>
      </c>
      <c r="F105" s="3">
        <v>180.0</v>
      </c>
      <c r="G105" s="4" t="s">
        <v>22</v>
      </c>
      <c r="H105" s="3">
        <v>1.1801669772210188</v>
      </c>
      <c r="K105" s="9" t="str">
        <f>IFERROR(__xludf.DUMMYFUNCTION("""COMPUTED_VALUE"""),"MT Urban")</f>
        <v>MT Urban</v>
      </c>
      <c r="L105" s="9" t="str">
        <f>IFERROR(__xludf.DUMMYFUNCTION("""COMPUTED_VALUE"""),"Joyi")</f>
        <v>Joyi</v>
      </c>
      <c r="M105" s="9" t="str">
        <f>IFERROR(__xludf.DUMMYFUNCTION("""COMPUTED_VALUE"""),"Star")</f>
        <v>Star</v>
      </c>
      <c r="N105" s="9" t="str">
        <f>IFERROR(__xludf.DUMMYFUNCTION("""COMPUTED_VALUE"""),"Strawberry")</f>
        <v>Strawberry</v>
      </c>
      <c r="O105" s="9" t="str">
        <f>IFERROR(__xludf.DUMMYFUNCTION("""COMPUTED_VALUE"""),"Carton")</f>
        <v>Carton</v>
      </c>
      <c r="P105" s="9">
        <f>IFERROR(__xludf.DUMMYFUNCTION("""COMPUTED_VALUE"""),180.0)</f>
        <v>180</v>
      </c>
      <c r="Q105" s="9" t="str">
        <f>IFERROR(__xludf.DUMMYFUNCTION("""COMPUTED_VALUE"""),"Q4'23")</f>
        <v>Q4'23</v>
      </c>
      <c r="R105" s="9">
        <f>IFERROR(__xludf.DUMMYFUNCTION("""COMPUTED_VALUE"""),1.1801669772210188)</f>
        <v>1.180166977</v>
      </c>
    </row>
    <row r="106" ht="14.25" customHeight="1">
      <c r="A106" s="3" t="s">
        <v>10</v>
      </c>
      <c r="B106" s="6" t="s">
        <v>38</v>
      </c>
      <c r="C106" s="3" t="s">
        <v>40</v>
      </c>
      <c r="D106" s="3" t="s">
        <v>13</v>
      </c>
      <c r="E106" s="3" t="s">
        <v>14</v>
      </c>
      <c r="F106" s="3">
        <v>110.0</v>
      </c>
      <c r="G106" s="4" t="s">
        <v>15</v>
      </c>
      <c r="H106" s="3">
        <v>0.9810267394235253</v>
      </c>
      <c r="K106" s="9" t="str">
        <f>IFERROR(__xludf.DUMMYFUNCTION("""COMPUTED_VALUE"""),"MT Urban")</f>
        <v>MT Urban</v>
      </c>
      <c r="L106" s="9" t="str">
        <f>IFERROR(__xludf.DUMMYFUNCTION("""COMPUTED_VALUE"""),"Joyi")</f>
        <v>Joyi</v>
      </c>
      <c r="M106" s="9" t="str">
        <f>IFERROR(__xludf.DUMMYFUNCTION("""COMPUTED_VALUE"""),"Star")</f>
        <v>Star</v>
      </c>
      <c r="N106" s="9" t="str">
        <f>IFERROR(__xludf.DUMMYFUNCTION("""COMPUTED_VALUE"""),"Sweetened")</f>
        <v>Sweetened</v>
      </c>
      <c r="O106" s="9" t="str">
        <f>IFERROR(__xludf.DUMMYFUNCTION("""COMPUTED_VALUE"""),"Carton")</f>
        <v>Carton</v>
      </c>
      <c r="P106" s="9">
        <f>IFERROR(__xludf.DUMMYFUNCTION("""COMPUTED_VALUE"""),110.0)</f>
        <v>110</v>
      </c>
      <c r="Q106" s="9" t="str">
        <f>IFERROR(__xludf.DUMMYFUNCTION("""COMPUTED_VALUE"""),"Q1'22")</f>
        <v>Q1'22</v>
      </c>
      <c r="R106" s="9">
        <f>IFERROR(__xludf.DUMMYFUNCTION("""COMPUTED_VALUE"""),0.9810267394235253)</f>
        <v>0.9810267394</v>
      </c>
    </row>
    <row r="107" ht="14.25" customHeight="1">
      <c r="A107" s="3" t="s">
        <v>10</v>
      </c>
      <c r="B107" s="6" t="s">
        <v>38</v>
      </c>
      <c r="C107" s="3" t="s">
        <v>40</v>
      </c>
      <c r="D107" s="3" t="s">
        <v>13</v>
      </c>
      <c r="E107" s="3" t="s">
        <v>14</v>
      </c>
      <c r="F107" s="3">
        <v>110.0</v>
      </c>
      <c r="G107" s="4" t="s">
        <v>16</v>
      </c>
      <c r="H107" s="3">
        <v>1.1254835151553262</v>
      </c>
      <c r="K107" s="9" t="str">
        <f>IFERROR(__xludf.DUMMYFUNCTION("""COMPUTED_VALUE"""),"MT Urban")</f>
        <v>MT Urban</v>
      </c>
      <c r="L107" s="9" t="str">
        <f>IFERROR(__xludf.DUMMYFUNCTION("""COMPUTED_VALUE"""),"Joyi")</f>
        <v>Joyi</v>
      </c>
      <c r="M107" s="9" t="str">
        <f>IFERROR(__xludf.DUMMYFUNCTION("""COMPUTED_VALUE"""),"Star")</f>
        <v>Star</v>
      </c>
      <c r="N107" s="9" t="str">
        <f>IFERROR(__xludf.DUMMYFUNCTION("""COMPUTED_VALUE"""),"Sweetened")</f>
        <v>Sweetened</v>
      </c>
      <c r="O107" s="9" t="str">
        <f>IFERROR(__xludf.DUMMYFUNCTION("""COMPUTED_VALUE"""),"Carton")</f>
        <v>Carton</v>
      </c>
      <c r="P107" s="9">
        <f>IFERROR(__xludf.DUMMYFUNCTION("""COMPUTED_VALUE"""),110.0)</f>
        <v>110</v>
      </c>
      <c r="Q107" s="9" t="str">
        <f>IFERROR(__xludf.DUMMYFUNCTION("""COMPUTED_VALUE"""),"Q2'22")</f>
        <v>Q2'22</v>
      </c>
      <c r="R107" s="9">
        <f>IFERROR(__xludf.DUMMYFUNCTION("""COMPUTED_VALUE"""),1.1254835151553262)</f>
        <v>1.125483515</v>
      </c>
    </row>
    <row r="108" ht="14.25" customHeight="1">
      <c r="A108" s="3" t="s">
        <v>10</v>
      </c>
      <c r="B108" s="6" t="s">
        <v>38</v>
      </c>
      <c r="C108" s="3" t="s">
        <v>40</v>
      </c>
      <c r="D108" s="3" t="s">
        <v>13</v>
      </c>
      <c r="E108" s="3" t="s">
        <v>14</v>
      </c>
      <c r="F108" s="3">
        <v>110.0</v>
      </c>
      <c r="G108" s="4" t="s">
        <v>17</v>
      </c>
      <c r="H108" s="3">
        <v>1.021856557385046</v>
      </c>
      <c r="K108" s="9" t="str">
        <f>IFERROR(__xludf.DUMMYFUNCTION("""COMPUTED_VALUE"""),"MT Urban")</f>
        <v>MT Urban</v>
      </c>
      <c r="L108" s="9" t="str">
        <f>IFERROR(__xludf.DUMMYFUNCTION("""COMPUTED_VALUE"""),"Joyi")</f>
        <v>Joyi</v>
      </c>
      <c r="M108" s="9" t="str">
        <f>IFERROR(__xludf.DUMMYFUNCTION("""COMPUTED_VALUE"""),"Star")</f>
        <v>Star</v>
      </c>
      <c r="N108" s="9" t="str">
        <f>IFERROR(__xludf.DUMMYFUNCTION("""COMPUTED_VALUE"""),"Sweetened")</f>
        <v>Sweetened</v>
      </c>
      <c r="O108" s="9" t="str">
        <f>IFERROR(__xludf.DUMMYFUNCTION("""COMPUTED_VALUE"""),"Carton")</f>
        <v>Carton</v>
      </c>
      <c r="P108" s="9">
        <f>IFERROR(__xludf.DUMMYFUNCTION("""COMPUTED_VALUE"""),110.0)</f>
        <v>110</v>
      </c>
      <c r="Q108" s="9" t="str">
        <f>IFERROR(__xludf.DUMMYFUNCTION("""COMPUTED_VALUE"""),"Q3'22")</f>
        <v>Q3'22</v>
      </c>
      <c r="R108" s="9">
        <f>IFERROR(__xludf.DUMMYFUNCTION("""COMPUTED_VALUE"""),1.021856557385046)</f>
        <v>1.021856557</v>
      </c>
    </row>
    <row r="109" ht="14.25" customHeight="1">
      <c r="A109" s="3" t="s">
        <v>10</v>
      </c>
      <c r="B109" s="6" t="s">
        <v>38</v>
      </c>
      <c r="C109" s="3" t="s">
        <v>40</v>
      </c>
      <c r="D109" s="3" t="s">
        <v>13</v>
      </c>
      <c r="E109" s="3" t="s">
        <v>14</v>
      </c>
      <c r="F109" s="3">
        <v>110.0</v>
      </c>
      <c r="G109" s="4" t="s">
        <v>18</v>
      </c>
      <c r="H109" s="3">
        <v>0.8806877614318145</v>
      </c>
      <c r="K109" s="9" t="str">
        <f>IFERROR(__xludf.DUMMYFUNCTION("""COMPUTED_VALUE"""),"MT Urban")</f>
        <v>MT Urban</v>
      </c>
      <c r="L109" s="9" t="str">
        <f>IFERROR(__xludf.DUMMYFUNCTION("""COMPUTED_VALUE"""),"Joyi")</f>
        <v>Joyi</v>
      </c>
      <c r="M109" s="9" t="str">
        <f>IFERROR(__xludf.DUMMYFUNCTION("""COMPUTED_VALUE"""),"Star")</f>
        <v>Star</v>
      </c>
      <c r="N109" s="9" t="str">
        <f>IFERROR(__xludf.DUMMYFUNCTION("""COMPUTED_VALUE"""),"Sweetened")</f>
        <v>Sweetened</v>
      </c>
      <c r="O109" s="9" t="str">
        <f>IFERROR(__xludf.DUMMYFUNCTION("""COMPUTED_VALUE"""),"Carton")</f>
        <v>Carton</v>
      </c>
      <c r="P109" s="9">
        <f>IFERROR(__xludf.DUMMYFUNCTION("""COMPUTED_VALUE"""),110.0)</f>
        <v>110</v>
      </c>
      <c r="Q109" s="9" t="str">
        <f>IFERROR(__xludf.DUMMYFUNCTION("""COMPUTED_VALUE"""),"Q4'22")</f>
        <v>Q4'22</v>
      </c>
      <c r="R109" s="9">
        <f>IFERROR(__xludf.DUMMYFUNCTION("""COMPUTED_VALUE"""),0.8806877614318145)</f>
        <v>0.8806877614</v>
      </c>
    </row>
    <row r="110" ht="14.25" customHeight="1">
      <c r="A110" s="3" t="s">
        <v>10</v>
      </c>
      <c r="B110" s="6" t="s">
        <v>38</v>
      </c>
      <c r="C110" s="3" t="s">
        <v>40</v>
      </c>
      <c r="D110" s="3" t="s">
        <v>13</v>
      </c>
      <c r="E110" s="3" t="s">
        <v>14</v>
      </c>
      <c r="F110" s="3">
        <v>110.0</v>
      </c>
      <c r="G110" s="4" t="s">
        <v>19</v>
      </c>
      <c r="H110" s="3">
        <v>0.8359924118826474</v>
      </c>
      <c r="K110" s="9" t="str">
        <f>IFERROR(__xludf.DUMMYFUNCTION("""COMPUTED_VALUE"""),"MT Urban")</f>
        <v>MT Urban</v>
      </c>
      <c r="L110" s="9" t="str">
        <f>IFERROR(__xludf.DUMMYFUNCTION("""COMPUTED_VALUE"""),"Joyi")</f>
        <v>Joyi</v>
      </c>
      <c r="M110" s="9" t="str">
        <f>IFERROR(__xludf.DUMMYFUNCTION("""COMPUTED_VALUE"""),"Star")</f>
        <v>Star</v>
      </c>
      <c r="N110" s="9" t="str">
        <f>IFERROR(__xludf.DUMMYFUNCTION("""COMPUTED_VALUE"""),"Sweetened")</f>
        <v>Sweetened</v>
      </c>
      <c r="O110" s="9" t="str">
        <f>IFERROR(__xludf.DUMMYFUNCTION("""COMPUTED_VALUE"""),"Carton")</f>
        <v>Carton</v>
      </c>
      <c r="P110" s="9">
        <f>IFERROR(__xludf.DUMMYFUNCTION("""COMPUTED_VALUE"""),110.0)</f>
        <v>110</v>
      </c>
      <c r="Q110" s="9" t="str">
        <f>IFERROR(__xludf.DUMMYFUNCTION("""COMPUTED_VALUE"""),"Q1'23")</f>
        <v>Q1'23</v>
      </c>
      <c r="R110" s="9">
        <f>IFERROR(__xludf.DUMMYFUNCTION("""COMPUTED_VALUE"""),0.8359924118826474)</f>
        <v>0.8359924119</v>
      </c>
    </row>
    <row r="111" ht="14.25" customHeight="1">
      <c r="A111" s="3" t="s">
        <v>10</v>
      </c>
      <c r="B111" s="6" t="s">
        <v>38</v>
      </c>
      <c r="C111" s="3" t="s">
        <v>40</v>
      </c>
      <c r="D111" s="3" t="s">
        <v>13</v>
      </c>
      <c r="E111" s="3" t="s">
        <v>14</v>
      </c>
      <c r="F111" s="3">
        <v>110.0</v>
      </c>
      <c r="G111" s="4" t="s">
        <v>20</v>
      </c>
      <c r="H111" s="3">
        <v>0.7373439462999698</v>
      </c>
      <c r="K111" s="9" t="str">
        <f>IFERROR(__xludf.DUMMYFUNCTION("""COMPUTED_VALUE"""),"MT Urban")</f>
        <v>MT Urban</v>
      </c>
      <c r="L111" s="9" t="str">
        <f>IFERROR(__xludf.DUMMYFUNCTION("""COMPUTED_VALUE"""),"Joyi")</f>
        <v>Joyi</v>
      </c>
      <c r="M111" s="9" t="str">
        <f>IFERROR(__xludf.DUMMYFUNCTION("""COMPUTED_VALUE"""),"Star")</f>
        <v>Star</v>
      </c>
      <c r="N111" s="9" t="str">
        <f>IFERROR(__xludf.DUMMYFUNCTION("""COMPUTED_VALUE"""),"Sweetened")</f>
        <v>Sweetened</v>
      </c>
      <c r="O111" s="9" t="str">
        <f>IFERROR(__xludf.DUMMYFUNCTION("""COMPUTED_VALUE"""),"Carton")</f>
        <v>Carton</v>
      </c>
      <c r="P111" s="9">
        <f>IFERROR(__xludf.DUMMYFUNCTION("""COMPUTED_VALUE"""),110.0)</f>
        <v>110</v>
      </c>
      <c r="Q111" s="9" t="str">
        <f>IFERROR(__xludf.DUMMYFUNCTION("""COMPUTED_VALUE"""),"Q2'23")</f>
        <v>Q2'23</v>
      </c>
      <c r="R111" s="9">
        <f>IFERROR(__xludf.DUMMYFUNCTION("""COMPUTED_VALUE"""),0.7373439462999698)</f>
        <v>0.7373439463</v>
      </c>
    </row>
    <row r="112" ht="14.25" customHeight="1">
      <c r="A112" s="3" t="s">
        <v>10</v>
      </c>
      <c r="B112" s="6" t="s">
        <v>38</v>
      </c>
      <c r="C112" s="3" t="s">
        <v>40</v>
      </c>
      <c r="D112" s="3" t="s">
        <v>13</v>
      </c>
      <c r="E112" s="3" t="s">
        <v>14</v>
      </c>
      <c r="F112" s="3">
        <v>110.0</v>
      </c>
      <c r="G112" s="4" t="s">
        <v>21</v>
      </c>
      <c r="H112" s="3">
        <v>0.7542187289180632</v>
      </c>
      <c r="K112" s="9" t="str">
        <f>IFERROR(__xludf.DUMMYFUNCTION("""COMPUTED_VALUE"""),"MT Urban")</f>
        <v>MT Urban</v>
      </c>
      <c r="L112" s="9" t="str">
        <f>IFERROR(__xludf.DUMMYFUNCTION("""COMPUTED_VALUE"""),"Joyi")</f>
        <v>Joyi</v>
      </c>
      <c r="M112" s="9" t="str">
        <f>IFERROR(__xludf.DUMMYFUNCTION("""COMPUTED_VALUE"""),"Star")</f>
        <v>Star</v>
      </c>
      <c r="N112" s="9" t="str">
        <f>IFERROR(__xludf.DUMMYFUNCTION("""COMPUTED_VALUE"""),"Sweetened")</f>
        <v>Sweetened</v>
      </c>
      <c r="O112" s="9" t="str">
        <f>IFERROR(__xludf.DUMMYFUNCTION("""COMPUTED_VALUE"""),"Carton")</f>
        <v>Carton</v>
      </c>
      <c r="P112" s="9">
        <f>IFERROR(__xludf.DUMMYFUNCTION("""COMPUTED_VALUE"""),110.0)</f>
        <v>110</v>
      </c>
      <c r="Q112" s="9" t="str">
        <f>IFERROR(__xludf.DUMMYFUNCTION("""COMPUTED_VALUE"""),"Q3'23")</f>
        <v>Q3'23</v>
      </c>
      <c r="R112" s="9">
        <f>IFERROR(__xludf.DUMMYFUNCTION("""COMPUTED_VALUE"""),0.7542187289180632)</f>
        <v>0.7542187289</v>
      </c>
    </row>
    <row r="113" ht="14.25" customHeight="1">
      <c r="A113" s="3" t="s">
        <v>10</v>
      </c>
      <c r="B113" s="6" t="s">
        <v>38</v>
      </c>
      <c r="C113" s="3" t="s">
        <v>40</v>
      </c>
      <c r="D113" s="3" t="s">
        <v>13</v>
      </c>
      <c r="E113" s="3" t="s">
        <v>14</v>
      </c>
      <c r="F113" s="3">
        <v>110.0</v>
      </c>
      <c r="G113" s="4" t="s">
        <v>22</v>
      </c>
      <c r="H113" s="3">
        <v>0.8267002876155745</v>
      </c>
      <c r="K113" s="9" t="str">
        <f>IFERROR(__xludf.DUMMYFUNCTION("""COMPUTED_VALUE"""),"MT Urban")</f>
        <v>MT Urban</v>
      </c>
      <c r="L113" s="9" t="str">
        <f>IFERROR(__xludf.DUMMYFUNCTION("""COMPUTED_VALUE"""),"Joyi")</f>
        <v>Joyi</v>
      </c>
      <c r="M113" s="9" t="str">
        <f>IFERROR(__xludf.DUMMYFUNCTION("""COMPUTED_VALUE"""),"Star")</f>
        <v>Star</v>
      </c>
      <c r="N113" s="9" t="str">
        <f>IFERROR(__xludf.DUMMYFUNCTION("""COMPUTED_VALUE"""),"Sweetened")</f>
        <v>Sweetened</v>
      </c>
      <c r="O113" s="9" t="str">
        <f>IFERROR(__xludf.DUMMYFUNCTION("""COMPUTED_VALUE"""),"Carton")</f>
        <v>Carton</v>
      </c>
      <c r="P113" s="9">
        <f>IFERROR(__xludf.DUMMYFUNCTION("""COMPUTED_VALUE"""),110.0)</f>
        <v>110</v>
      </c>
      <c r="Q113" s="9" t="str">
        <f>IFERROR(__xludf.DUMMYFUNCTION("""COMPUTED_VALUE"""),"Q4'23")</f>
        <v>Q4'23</v>
      </c>
      <c r="R113" s="9">
        <f>IFERROR(__xludf.DUMMYFUNCTION("""COMPUTED_VALUE"""),0.8267002876155745)</f>
        <v>0.8267002876</v>
      </c>
    </row>
    <row r="114" ht="14.25" customHeight="1">
      <c r="A114" s="3" t="s">
        <v>10</v>
      </c>
      <c r="B114" s="6" t="s">
        <v>38</v>
      </c>
      <c r="C114" s="3" t="s">
        <v>40</v>
      </c>
      <c r="D114" s="3" t="s">
        <v>13</v>
      </c>
      <c r="E114" s="3" t="s">
        <v>14</v>
      </c>
      <c r="F114" s="3">
        <v>180.0</v>
      </c>
      <c r="G114" s="4" t="s">
        <v>15</v>
      </c>
      <c r="H114" s="3">
        <v>3.3708110279801473</v>
      </c>
      <c r="K114" s="9" t="str">
        <f>IFERROR(__xludf.DUMMYFUNCTION("""COMPUTED_VALUE"""),"MT Urban")</f>
        <v>MT Urban</v>
      </c>
      <c r="L114" s="9" t="str">
        <f>IFERROR(__xludf.DUMMYFUNCTION("""COMPUTED_VALUE"""),"Joyi")</f>
        <v>Joyi</v>
      </c>
      <c r="M114" s="9" t="str">
        <f>IFERROR(__xludf.DUMMYFUNCTION("""COMPUTED_VALUE"""),"Star")</f>
        <v>Star</v>
      </c>
      <c r="N114" s="9" t="str">
        <f>IFERROR(__xludf.DUMMYFUNCTION("""COMPUTED_VALUE"""),"Sweetened")</f>
        <v>Sweetened</v>
      </c>
      <c r="O114" s="9" t="str">
        <f>IFERROR(__xludf.DUMMYFUNCTION("""COMPUTED_VALUE"""),"Carton")</f>
        <v>Carton</v>
      </c>
      <c r="P114" s="9">
        <f>IFERROR(__xludf.DUMMYFUNCTION("""COMPUTED_VALUE"""),180.0)</f>
        <v>180</v>
      </c>
      <c r="Q114" s="9" t="str">
        <f>IFERROR(__xludf.DUMMYFUNCTION("""COMPUTED_VALUE"""),"Q1'22")</f>
        <v>Q1'22</v>
      </c>
      <c r="R114" s="9">
        <f>IFERROR(__xludf.DUMMYFUNCTION("""COMPUTED_VALUE"""),3.3708110279801473)</f>
        <v>3.370811028</v>
      </c>
    </row>
    <row r="115" ht="14.25" customHeight="1">
      <c r="A115" s="3" t="s">
        <v>10</v>
      </c>
      <c r="B115" s="6" t="s">
        <v>38</v>
      </c>
      <c r="C115" s="3" t="s">
        <v>40</v>
      </c>
      <c r="D115" s="3" t="s">
        <v>13</v>
      </c>
      <c r="E115" s="3" t="s">
        <v>14</v>
      </c>
      <c r="F115" s="3">
        <v>180.0</v>
      </c>
      <c r="G115" s="4" t="s">
        <v>16</v>
      </c>
      <c r="H115" s="3">
        <v>4.009477230907746</v>
      </c>
      <c r="K115" s="9" t="str">
        <f>IFERROR(__xludf.DUMMYFUNCTION("""COMPUTED_VALUE"""),"MT Urban")</f>
        <v>MT Urban</v>
      </c>
      <c r="L115" s="9" t="str">
        <f>IFERROR(__xludf.DUMMYFUNCTION("""COMPUTED_VALUE"""),"Joyi")</f>
        <v>Joyi</v>
      </c>
      <c r="M115" s="9" t="str">
        <f>IFERROR(__xludf.DUMMYFUNCTION("""COMPUTED_VALUE"""),"Star")</f>
        <v>Star</v>
      </c>
      <c r="N115" s="9" t="str">
        <f>IFERROR(__xludf.DUMMYFUNCTION("""COMPUTED_VALUE"""),"Sweetened")</f>
        <v>Sweetened</v>
      </c>
      <c r="O115" s="9" t="str">
        <f>IFERROR(__xludf.DUMMYFUNCTION("""COMPUTED_VALUE"""),"Carton")</f>
        <v>Carton</v>
      </c>
      <c r="P115" s="9">
        <f>IFERROR(__xludf.DUMMYFUNCTION("""COMPUTED_VALUE"""),180.0)</f>
        <v>180</v>
      </c>
      <c r="Q115" s="9" t="str">
        <f>IFERROR(__xludf.DUMMYFUNCTION("""COMPUTED_VALUE"""),"Q2'22")</f>
        <v>Q2'22</v>
      </c>
      <c r="R115" s="9">
        <f>IFERROR(__xludf.DUMMYFUNCTION("""COMPUTED_VALUE"""),4.009477230907746)</f>
        <v>4.009477231</v>
      </c>
    </row>
    <row r="116" ht="14.25" customHeight="1">
      <c r="A116" s="3" t="s">
        <v>10</v>
      </c>
      <c r="B116" s="6" t="s">
        <v>38</v>
      </c>
      <c r="C116" s="3" t="s">
        <v>40</v>
      </c>
      <c r="D116" s="3" t="s">
        <v>13</v>
      </c>
      <c r="E116" s="3" t="s">
        <v>14</v>
      </c>
      <c r="F116" s="3">
        <v>180.0</v>
      </c>
      <c r="G116" s="4" t="s">
        <v>17</v>
      </c>
      <c r="H116" s="3">
        <v>4.121151776650045</v>
      </c>
      <c r="K116" s="9" t="str">
        <f>IFERROR(__xludf.DUMMYFUNCTION("""COMPUTED_VALUE"""),"MT Urban")</f>
        <v>MT Urban</v>
      </c>
      <c r="L116" s="9" t="str">
        <f>IFERROR(__xludf.DUMMYFUNCTION("""COMPUTED_VALUE"""),"Joyi")</f>
        <v>Joyi</v>
      </c>
      <c r="M116" s="9" t="str">
        <f>IFERROR(__xludf.DUMMYFUNCTION("""COMPUTED_VALUE"""),"Star")</f>
        <v>Star</v>
      </c>
      <c r="N116" s="9" t="str">
        <f>IFERROR(__xludf.DUMMYFUNCTION("""COMPUTED_VALUE"""),"Sweetened")</f>
        <v>Sweetened</v>
      </c>
      <c r="O116" s="9" t="str">
        <f>IFERROR(__xludf.DUMMYFUNCTION("""COMPUTED_VALUE"""),"Carton")</f>
        <v>Carton</v>
      </c>
      <c r="P116" s="9">
        <f>IFERROR(__xludf.DUMMYFUNCTION("""COMPUTED_VALUE"""),180.0)</f>
        <v>180</v>
      </c>
      <c r="Q116" s="9" t="str">
        <f>IFERROR(__xludf.DUMMYFUNCTION("""COMPUTED_VALUE"""),"Q3'22")</f>
        <v>Q3'22</v>
      </c>
      <c r="R116" s="9">
        <f>IFERROR(__xludf.DUMMYFUNCTION("""COMPUTED_VALUE"""),4.121151776650045)</f>
        <v>4.121151777</v>
      </c>
    </row>
    <row r="117" ht="14.25" customHeight="1">
      <c r="A117" s="3" t="s">
        <v>10</v>
      </c>
      <c r="B117" s="6" t="s">
        <v>38</v>
      </c>
      <c r="C117" s="3" t="s">
        <v>40</v>
      </c>
      <c r="D117" s="3" t="s">
        <v>13</v>
      </c>
      <c r="E117" s="3" t="s">
        <v>14</v>
      </c>
      <c r="F117" s="3">
        <v>180.0</v>
      </c>
      <c r="G117" s="4" t="s">
        <v>18</v>
      </c>
      <c r="H117" s="3">
        <v>4.042608560298935</v>
      </c>
      <c r="K117" s="9" t="str">
        <f>IFERROR(__xludf.DUMMYFUNCTION("""COMPUTED_VALUE"""),"MT Urban")</f>
        <v>MT Urban</v>
      </c>
      <c r="L117" s="9" t="str">
        <f>IFERROR(__xludf.DUMMYFUNCTION("""COMPUTED_VALUE"""),"Joyi")</f>
        <v>Joyi</v>
      </c>
      <c r="M117" s="9" t="str">
        <f>IFERROR(__xludf.DUMMYFUNCTION("""COMPUTED_VALUE"""),"Star")</f>
        <v>Star</v>
      </c>
      <c r="N117" s="9" t="str">
        <f>IFERROR(__xludf.DUMMYFUNCTION("""COMPUTED_VALUE"""),"Sweetened")</f>
        <v>Sweetened</v>
      </c>
      <c r="O117" s="9" t="str">
        <f>IFERROR(__xludf.DUMMYFUNCTION("""COMPUTED_VALUE"""),"Carton")</f>
        <v>Carton</v>
      </c>
      <c r="P117" s="9">
        <f>IFERROR(__xludf.DUMMYFUNCTION("""COMPUTED_VALUE"""),180.0)</f>
        <v>180</v>
      </c>
      <c r="Q117" s="9" t="str">
        <f>IFERROR(__xludf.DUMMYFUNCTION("""COMPUTED_VALUE"""),"Q4'22")</f>
        <v>Q4'22</v>
      </c>
      <c r="R117" s="9">
        <f>IFERROR(__xludf.DUMMYFUNCTION("""COMPUTED_VALUE"""),4.042608560298935)</f>
        <v>4.04260856</v>
      </c>
    </row>
    <row r="118" ht="14.25" customHeight="1">
      <c r="A118" s="3" t="s">
        <v>10</v>
      </c>
      <c r="B118" s="6" t="s">
        <v>38</v>
      </c>
      <c r="C118" s="3" t="s">
        <v>40</v>
      </c>
      <c r="D118" s="3" t="s">
        <v>13</v>
      </c>
      <c r="E118" s="3" t="s">
        <v>14</v>
      </c>
      <c r="F118" s="3">
        <v>180.0</v>
      </c>
      <c r="G118" s="4" t="s">
        <v>19</v>
      </c>
      <c r="H118" s="3">
        <v>3.908954817849413</v>
      </c>
      <c r="K118" s="9" t="str">
        <f>IFERROR(__xludf.DUMMYFUNCTION("""COMPUTED_VALUE"""),"MT Urban")</f>
        <v>MT Urban</v>
      </c>
      <c r="L118" s="9" t="str">
        <f>IFERROR(__xludf.DUMMYFUNCTION("""COMPUTED_VALUE"""),"Joyi")</f>
        <v>Joyi</v>
      </c>
      <c r="M118" s="9" t="str">
        <f>IFERROR(__xludf.DUMMYFUNCTION("""COMPUTED_VALUE"""),"Star")</f>
        <v>Star</v>
      </c>
      <c r="N118" s="9" t="str">
        <f>IFERROR(__xludf.DUMMYFUNCTION("""COMPUTED_VALUE"""),"Sweetened")</f>
        <v>Sweetened</v>
      </c>
      <c r="O118" s="9" t="str">
        <f>IFERROR(__xludf.DUMMYFUNCTION("""COMPUTED_VALUE"""),"Carton")</f>
        <v>Carton</v>
      </c>
      <c r="P118" s="9">
        <f>IFERROR(__xludf.DUMMYFUNCTION("""COMPUTED_VALUE"""),180.0)</f>
        <v>180</v>
      </c>
      <c r="Q118" s="9" t="str">
        <f>IFERROR(__xludf.DUMMYFUNCTION("""COMPUTED_VALUE"""),"Q1'23")</f>
        <v>Q1'23</v>
      </c>
      <c r="R118" s="9">
        <f>IFERROR(__xludf.DUMMYFUNCTION("""COMPUTED_VALUE"""),3.908954817849413)</f>
        <v>3.908954818</v>
      </c>
    </row>
    <row r="119" ht="14.25" customHeight="1">
      <c r="A119" s="3" t="s">
        <v>10</v>
      </c>
      <c r="B119" s="6" t="s">
        <v>38</v>
      </c>
      <c r="C119" s="3" t="s">
        <v>40</v>
      </c>
      <c r="D119" s="3" t="s">
        <v>13</v>
      </c>
      <c r="E119" s="3" t="s">
        <v>14</v>
      </c>
      <c r="F119" s="3">
        <v>180.0</v>
      </c>
      <c r="G119" s="4" t="s">
        <v>20</v>
      </c>
      <c r="H119" s="3">
        <v>3.361472948917519</v>
      </c>
      <c r="K119" s="9" t="str">
        <f>IFERROR(__xludf.DUMMYFUNCTION("""COMPUTED_VALUE"""),"MT Urban")</f>
        <v>MT Urban</v>
      </c>
      <c r="L119" s="9" t="str">
        <f>IFERROR(__xludf.DUMMYFUNCTION("""COMPUTED_VALUE"""),"Joyi")</f>
        <v>Joyi</v>
      </c>
      <c r="M119" s="9" t="str">
        <f>IFERROR(__xludf.DUMMYFUNCTION("""COMPUTED_VALUE"""),"Star")</f>
        <v>Star</v>
      </c>
      <c r="N119" s="9" t="str">
        <f>IFERROR(__xludf.DUMMYFUNCTION("""COMPUTED_VALUE"""),"Sweetened")</f>
        <v>Sweetened</v>
      </c>
      <c r="O119" s="9" t="str">
        <f>IFERROR(__xludf.DUMMYFUNCTION("""COMPUTED_VALUE"""),"Carton")</f>
        <v>Carton</v>
      </c>
      <c r="P119" s="9">
        <f>IFERROR(__xludf.DUMMYFUNCTION("""COMPUTED_VALUE"""),180.0)</f>
        <v>180</v>
      </c>
      <c r="Q119" s="9" t="str">
        <f>IFERROR(__xludf.DUMMYFUNCTION("""COMPUTED_VALUE"""),"Q2'23")</f>
        <v>Q2'23</v>
      </c>
      <c r="R119" s="9">
        <f>IFERROR(__xludf.DUMMYFUNCTION("""COMPUTED_VALUE"""),3.361472948917519)</f>
        <v>3.361472949</v>
      </c>
    </row>
    <row r="120" ht="14.25" customHeight="1">
      <c r="A120" s="3" t="s">
        <v>10</v>
      </c>
      <c r="B120" s="6" t="s">
        <v>38</v>
      </c>
      <c r="C120" s="3" t="s">
        <v>40</v>
      </c>
      <c r="D120" s="3" t="s">
        <v>13</v>
      </c>
      <c r="E120" s="3" t="s">
        <v>14</v>
      </c>
      <c r="F120" s="3">
        <v>180.0</v>
      </c>
      <c r="G120" s="4" t="s">
        <v>21</v>
      </c>
      <c r="H120" s="3">
        <v>3.1435266922476917</v>
      </c>
      <c r="K120" s="9" t="str">
        <f>IFERROR(__xludf.DUMMYFUNCTION("""COMPUTED_VALUE"""),"MT Urban")</f>
        <v>MT Urban</v>
      </c>
      <c r="L120" s="9" t="str">
        <f>IFERROR(__xludf.DUMMYFUNCTION("""COMPUTED_VALUE"""),"Joyi")</f>
        <v>Joyi</v>
      </c>
      <c r="M120" s="9" t="str">
        <f>IFERROR(__xludf.DUMMYFUNCTION("""COMPUTED_VALUE"""),"Star")</f>
        <v>Star</v>
      </c>
      <c r="N120" s="9" t="str">
        <f>IFERROR(__xludf.DUMMYFUNCTION("""COMPUTED_VALUE"""),"Sweetened")</f>
        <v>Sweetened</v>
      </c>
      <c r="O120" s="9" t="str">
        <f>IFERROR(__xludf.DUMMYFUNCTION("""COMPUTED_VALUE"""),"Carton")</f>
        <v>Carton</v>
      </c>
      <c r="P120" s="9">
        <f>IFERROR(__xludf.DUMMYFUNCTION("""COMPUTED_VALUE"""),180.0)</f>
        <v>180</v>
      </c>
      <c r="Q120" s="9" t="str">
        <f>IFERROR(__xludf.DUMMYFUNCTION("""COMPUTED_VALUE"""),"Q3'23")</f>
        <v>Q3'23</v>
      </c>
      <c r="R120" s="9">
        <f>IFERROR(__xludf.DUMMYFUNCTION("""COMPUTED_VALUE"""),3.1435266922476917)</f>
        <v>3.143526692</v>
      </c>
    </row>
    <row r="121" ht="14.25" customHeight="1">
      <c r="A121" s="3" t="s">
        <v>10</v>
      </c>
      <c r="B121" s="6" t="s">
        <v>38</v>
      </c>
      <c r="C121" s="3" t="s">
        <v>40</v>
      </c>
      <c r="D121" s="3" t="s">
        <v>13</v>
      </c>
      <c r="E121" s="3" t="s">
        <v>14</v>
      </c>
      <c r="F121" s="3">
        <v>180.0</v>
      </c>
      <c r="G121" s="4" t="s">
        <v>22</v>
      </c>
      <c r="H121" s="3">
        <v>3.282658102971171</v>
      </c>
      <c r="K121" s="9" t="str">
        <f>IFERROR(__xludf.DUMMYFUNCTION("""COMPUTED_VALUE"""),"MT Urban")</f>
        <v>MT Urban</v>
      </c>
      <c r="L121" s="9" t="str">
        <f>IFERROR(__xludf.DUMMYFUNCTION("""COMPUTED_VALUE"""),"Joyi")</f>
        <v>Joyi</v>
      </c>
      <c r="M121" s="9" t="str">
        <f>IFERROR(__xludf.DUMMYFUNCTION("""COMPUTED_VALUE"""),"Star")</f>
        <v>Star</v>
      </c>
      <c r="N121" s="9" t="str">
        <f>IFERROR(__xludf.DUMMYFUNCTION("""COMPUTED_VALUE"""),"Sweetened")</f>
        <v>Sweetened</v>
      </c>
      <c r="O121" s="9" t="str">
        <f>IFERROR(__xludf.DUMMYFUNCTION("""COMPUTED_VALUE"""),"Carton")</f>
        <v>Carton</v>
      </c>
      <c r="P121" s="9">
        <f>IFERROR(__xludf.DUMMYFUNCTION("""COMPUTED_VALUE"""),180.0)</f>
        <v>180</v>
      </c>
      <c r="Q121" s="9" t="str">
        <f>IFERROR(__xludf.DUMMYFUNCTION("""COMPUTED_VALUE"""),"Q4'23")</f>
        <v>Q4'23</v>
      </c>
      <c r="R121" s="9">
        <f>IFERROR(__xludf.DUMMYFUNCTION("""COMPUTED_VALUE"""),3.282658102971171)</f>
        <v>3.282658103</v>
      </c>
    </row>
    <row r="122" ht="14.25" customHeight="1">
      <c r="A122" s="3" t="s">
        <v>10</v>
      </c>
      <c r="B122" s="6" t="s">
        <v>38</v>
      </c>
      <c r="C122" s="3" t="s">
        <v>40</v>
      </c>
      <c r="D122" s="3" t="s">
        <v>13</v>
      </c>
      <c r="E122" s="3" t="s">
        <v>29</v>
      </c>
      <c r="F122" s="3">
        <v>220.0</v>
      </c>
      <c r="G122" s="4" t="s">
        <v>15</v>
      </c>
      <c r="H122" s="3">
        <v>1.1381622595695697</v>
      </c>
      <c r="K122" s="9" t="str">
        <f>IFERROR(__xludf.DUMMYFUNCTION("""COMPUTED_VALUE"""),"MT Urban")</f>
        <v>MT Urban</v>
      </c>
      <c r="L122" s="9" t="str">
        <f>IFERROR(__xludf.DUMMYFUNCTION("""COMPUTED_VALUE"""),"Joyi")</f>
        <v>Joyi</v>
      </c>
      <c r="M122" s="9" t="str">
        <f>IFERROR(__xludf.DUMMYFUNCTION("""COMPUTED_VALUE"""),"Star")</f>
        <v>Star</v>
      </c>
      <c r="N122" s="9" t="str">
        <f>IFERROR(__xludf.DUMMYFUNCTION("""COMPUTED_VALUE"""),"Sweetened")</f>
        <v>Sweetened</v>
      </c>
      <c r="O122" s="9" t="str">
        <f>IFERROR(__xludf.DUMMYFUNCTION("""COMPUTED_VALUE"""),"TFA")</f>
        <v>TFA</v>
      </c>
      <c r="P122" s="9">
        <f>IFERROR(__xludf.DUMMYFUNCTION("""COMPUTED_VALUE"""),220.0)</f>
        <v>220</v>
      </c>
      <c r="Q122" s="9" t="str">
        <f>IFERROR(__xludf.DUMMYFUNCTION("""COMPUTED_VALUE"""),"Q1'22")</f>
        <v>Q1'22</v>
      </c>
      <c r="R122" s="9">
        <f>IFERROR(__xludf.DUMMYFUNCTION("""COMPUTED_VALUE"""),1.1381622595695697)</f>
        <v>1.13816226</v>
      </c>
    </row>
    <row r="123" ht="14.25" customHeight="1">
      <c r="A123" s="3" t="s">
        <v>10</v>
      </c>
      <c r="B123" s="6" t="s">
        <v>38</v>
      </c>
      <c r="C123" s="3" t="s">
        <v>40</v>
      </c>
      <c r="D123" s="3" t="s">
        <v>13</v>
      </c>
      <c r="E123" s="3" t="s">
        <v>29</v>
      </c>
      <c r="F123" s="3">
        <v>220.0</v>
      </c>
      <c r="G123" s="4" t="s">
        <v>16</v>
      </c>
      <c r="H123" s="3">
        <v>1.7377506241607727</v>
      </c>
      <c r="K123" s="9" t="str">
        <f>IFERROR(__xludf.DUMMYFUNCTION("""COMPUTED_VALUE"""),"MT Urban")</f>
        <v>MT Urban</v>
      </c>
      <c r="L123" s="9" t="str">
        <f>IFERROR(__xludf.DUMMYFUNCTION("""COMPUTED_VALUE"""),"Joyi")</f>
        <v>Joyi</v>
      </c>
      <c r="M123" s="9" t="str">
        <f>IFERROR(__xludf.DUMMYFUNCTION("""COMPUTED_VALUE"""),"Star")</f>
        <v>Star</v>
      </c>
      <c r="N123" s="9" t="str">
        <f>IFERROR(__xludf.DUMMYFUNCTION("""COMPUTED_VALUE"""),"Sweetened")</f>
        <v>Sweetened</v>
      </c>
      <c r="O123" s="9" t="str">
        <f>IFERROR(__xludf.DUMMYFUNCTION("""COMPUTED_VALUE"""),"TFA")</f>
        <v>TFA</v>
      </c>
      <c r="P123" s="9">
        <f>IFERROR(__xludf.DUMMYFUNCTION("""COMPUTED_VALUE"""),220.0)</f>
        <v>220</v>
      </c>
      <c r="Q123" s="9" t="str">
        <f>IFERROR(__xludf.DUMMYFUNCTION("""COMPUTED_VALUE"""),"Q2'22")</f>
        <v>Q2'22</v>
      </c>
      <c r="R123" s="9">
        <f>IFERROR(__xludf.DUMMYFUNCTION("""COMPUTED_VALUE"""),1.7377506241607727)</f>
        <v>1.737750624</v>
      </c>
    </row>
    <row r="124" ht="14.25" customHeight="1">
      <c r="A124" s="3" t="s">
        <v>10</v>
      </c>
      <c r="B124" s="6" t="s">
        <v>38</v>
      </c>
      <c r="C124" s="3" t="s">
        <v>40</v>
      </c>
      <c r="D124" s="3" t="s">
        <v>13</v>
      </c>
      <c r="E124" s="3" t="s">
        <v>29</v>
      </c>
      <c r="F124" s="3">
        <v>220.0</v>
      </c>
      <c r="G124" s="4" t="s">
        <v>17</v>
      </c>
      <c r="H124" s="3">
        <v>1.5889245527480933</v>
      </c>
      <c r="K124" s="9" t="str">
        <f>IFERROR(__xludf.DUMMYFUNCTION("""COMPUTED_VALUE"""),"MT Urban")</f>
        <v>MT Urban</v>
      </c>
      <c r="L124" s="9" t="str">
        <f>IFERROR(__xludf.DUMMYFUNCTION("""COMPUTED_VALUE"""),"Joyi")</f>
        <v>Joyi</v>
      </c>
      <c r="M124" s="9" t="str">
        <f>IFERROR(__xludf.DUMMYFUNCTION("""COMPUTED_VALUE"""),"Star")</f>
        <v>Star</v>
      </c>
      <c r="N124" s="9" t="str">
        <f>IFERROR(__xludf.DUMMYFUNCTION("""COMPUTED_VALUE"""),"Sweetened")</f>
        <v>Sweetened</v>
      </c>
      <c r="O124" s="9" t="str">
        <f>IFERROR(__xludf.DUMMYFUNCTION("""COMPUTED_VALUE"""),"TFA")</f>
        <v>TFA</v>
      </c>
      <c r="P124" s="9">
        <f>IFERROR(__xludf.DUMMYFUNCTION("""COMPUTED_VALUE"""),220.0)</f>
        <v>220</v>
      </c>
      <c r="Q124" s="9" t="str">
        <f>IFERROR(__xludf.DUMMYFUNCTION("""COMPUTED_VALUE"""),"Q3'22")</f>
        <v>Q3'22</v>
      </c>
      <c r="R124" s="9">
        <f>IFERROR(__xludf.DUMMYFUNCTION("""COMPUTED_VALUE"""),1.5889245527480933)</f>
        <v>1.588924553</v>
      </c>
    </row>
    <row r="125" ht="14.25" customHeight="1">
      <c r="A125" s="3" t="s">
        <v>10</v>
      </c>
      <c r="B125" s="6" t="s">
        <v>38</v>
      </c>
      <c r="C125" s="3" t="s">
        <v>40</v>
      </c>
      <c r="D125" s="3" t="s">
        <v>13</v>
      </c>
      <c r="E125" s="3" t="s">
        <v>29</v>
      </c>
      <c r="F125" s="3">
        <v>220.0</v>
      </c>
      <c r="G125" s="4" t="s">
        <v>18</v>
      </c>
      <c r="H125" s="3">
        <v>1.7466989352416848</v>
      </c>
      <c r="K125" s="9" t="str">
        <f>IFERROR(__xludf.DUMMYFUNCTION("""COMPUTED_VALUE"""),"MT Urban")</f>
        <v>MT Urban</v>
      </c>
      <c r="L125" s="9" t="str">
        <f>IFERROR(__xludf.DUMMYFUNCTION("""COMPUTED_VALUE"""),"Joyi")</f>
        <v>Joyi</v>
      </c>
      <c r="M125" s="9" t="str">
        <f>IFERROR(__xludf.DUMMYFUNCTION("""COMPUTED_VALUE"""),"Star")</f>
        <v>Star</v>
      </c>
      <c r="N125" s="9" t="str">
        <f>IFERROR(__xludf.DUMMYFUNCTION("""COMPUTED_VALUE"""),"Sweetened")</f>
        <v>Sweetened</v>
      </c>
      <c r="O125" s="9" t="str">
        <f>IFERROR(__xludf.DUMMYFUNCTION("""COMPUTED_VALUE"""),"TFA")</f>
        <v>TFA</v>
      </c>
      <c r="P125" s="9">
        <f>IFERROR(__xludf.DUMMYFUNCTION("""COMPUTED_VALUE"""),220.0)</f>
        <v>220</v>
      </c>
      <c r="Q125" s="9" t="str">
        <f>IFERROR(__xludf.DUMMYFUNCTION("""COMPUTED_VALUE"""),"Q4'22")</f>
        <v>Q4'22</v>
      </c>
      <c r="R125" s="9">
        <f>IFERROR(__xludf.DUMMYFUNCTION("""COMPUTED_VALUE"""),1.7466989352416848)</f>
        <v>1.746698935</v>
      </c>
    </row>
    <row r="126" ht="14.25" customHeight="1">
      <c r="A126" s="3" t="s">
        <v>10</v>
      </c>
      <c r="B126" s="6" t="s">
        <v>38</v>
      </c>
      <c r="C126" s="3" t="s">
        <v>40</v>
      </c>
      <c r="D126" s="3" t="s">
        <v>13</v>
      </c>
      <c r="E126" s="3" t="s">
        <v>29</v>
      </c>
      <c r="F126" s="3">
        <v>220.0</v>
      </c>
      <c r="G126" s="4" t="s">
        <v>19</v>
      </c>
      <c r="H126" s="3">
        <v>2.0987680417180594</v>
      </c>
      <c r="K126" s="9" t="str">
        <f>IFERROR(__xludf.DUMMYFUNCTION("""COMPUTED_VALUE"""),"MT Urban")</f>
        <v>MT Urban</v>
      </c>
      <c r="L126" s="9" t="str">
        <f>IFERROR(__xludf.DUMMYFUNCTION("""COMPUTED_VALUE"""),"Joyi")</f>
        <v>Joyi</v>
      </c>
      <c r="M126" s="9" t="str">
        <f>IFERROR(__xludf.DUMMYFUNCTION("""COMPUTED_VALUE"""),"Star")</f>
        <v>Star</v>
      </c>
      <c r="N126" s="9" t="str">
        <f>IFERROR(__xludf.DUMMYFUNCTION("""COMPUTED_VALUE"""),"Sweetened")</f>
        <v>Sweetened</v>
      </c>
      <c r="O126" s="9" t="str">
        <f>IFERROR(__xludf.DUMMYFUNCTION("""COMPUTED_VALUE"""),"TFA")</f>
        <v>TFA</v>
      </c>
      <c r="P126" s="9">
        <f>IFERROR(__xludf.DUMMYFUNCTION("""COMPUTED_VALUE"""),220.0)</f>
        <v>220</v>
      </c>
      <c r="Q126" s="9" t="str">
        <f>IFERROR(__xludf.DUMMYFUNCTION("""COMPUTED_VALUE"""),"Q1'23")</f>
        <v>Q1'23</v>
      </c>
      <c r="R126" s="9">
        <f>IFERROR(__xludf.DUMMYFUNCTION("""COMPUTED_VALUE"""),2.0987680417180594)</f>
        <v>2.098768042</v>
      </c>
    </row>
    <row r="127" ht="14.25" customHeight="1">
      <c r="A127" s="3" t="s">
        <v>10</v>
      </c>
      <c r="B127" s="6" t="s">
        <v>38</v>
      </c>
      <c r="C127" s="3" t="s">
        <v>40</v>
      </c>
      <c r="D127" s="3" t="s">
        <v>13</v>
      </c>
      <c r="E127" s="3" t="s">
        <v>29</v>
      </c>
      <c r="F127" s="3">
        <v>220.0</v>
      </c>
      <c r="G127" s="4" t="s">
        <v>20</v>
      </c>
      <c r="H127" s="3">
        <v>2.4136501943728756</v>
      </c>
      <c r="K127" s="9" t="str">
        <f>IFERROR(__xludf.DUMMYFUNCTION("""COMPUTED_VALUE"""),"MT Urban")</f>
        <v>MT Urban</v>
      </c>
      <c r="L127" s="9" t="str">
        <f>IFERROR(__xludf.DUMMYFUNCTION("""COMPUTED_VALUE"""),"Joyi")</f>
        <v>Joyi</v>
      </c>
      <c r="M127" s="9" t="str">
        <f>IFERROR(__xludf.DUMMYFUNCTION("""COMPUTED_VALUE"""),"Star")</f>
        <v>Star</v>
      </c>
      <c r="N127" s="9" t="str">
        <f>IFERROR(__xludf.DUMMYFUNCTION("""COMPUTED_VALUE"""),"Sweetened")</f>
        <v>Sweetened</v>
      </c>
      <c r="O127" s="9" t="str">
        <f>IFERROR(__xludf.DUMMYFUNCTION("""COMPUTED_VALUE"""),"TFA")</f>
        <v>TFA</v>
      </c>
      <c r="P127" s="9">
        <f>IFERROR(__xludf.DUMMYFUNCTION("""COMPUTED_VALUE"""),220.0)</f>
        <v>220</v>
      </c>
      <c r="Q127" s="9" t="str">
        <f>IFERROR(__xludf.DUMMYFUNCTION("""COMPUTED_VALUE"""),"Q2'23")</f>
        <v>Q2'23</v>
      </c>
      <c r="R127" s="9">
        <f>IFERROR(__xludf.DUMMYFUNCTION("""COMPUTED_VALUE"""),2.4136501943728756)</f>
        <v>2.413650194</v>
      </c>
    </row>
    <row r="128" ht="14.25" customHeight="1">
      <c r="A128" s="3" t="s">
        <v>10</v>
      </c>
      <c r="B128" s="6" t="s">
        <v>38</v>
      </c>
      <c r="C128" s="3" t="s">
        <v>40</v>
      </c>
      <c r="D128" s="3" t="s">
        <v>13</v>
      </c>
      <c r="E128" s="3" t="s">
        <v>29</v>
      </c>
      <c r="F128" s="3">
        <v>220.0</v>
      </c>
      <c r="G128" s="4" t="s">
        <v>21</v>
      </c>
      <c r="H128" s="3">
        <v>2.3134331297849102</v>
      </c>
      <c r="K128" s="9" t="str">
        <f>IFERROR(__xludf.DUMMYFUNCTION("""COMPUTED_VALUE"""),"MT Urban")</f>
        <v>MT Urban</v>
      </c>
      <c r="L128" s="9" t="str">
        <f>IFERROR(__xludf.DUMMYFUNCTION("""COMPUTED_VALUE"""),"Joyi")</f>
        <v>Joyi</v>
      </c>
      <c r="M128" s="9" t="str">
        <f>IFERROR(__xludf.DUMMYFUNCTION("""COMPUTED_VALUE"""),"Star")</f>
        <v>Star</v>
      </c>
      <c r="N128" s="9" t="str">
        <f>IFERROR(__xludf.DUMMYFUNCTION("""COMPUTED_VALUE"""),"Sweetened")</f>
        <v>Sweetened</v>
      </c>
      <c r="O128" s="9" t="str">
        <f>IFERROR(__xludf.DUMMYFUNCTION("""COMPUTED_VALUE"""),"TFA")</f>
        <v>TFA</v>
      </c>
      <c r="P128" s="9">
        <f>IFERROR(__xludf.DUMMYFUNCTION("""COMPUTED_VALUE"""),220.0)</f>
        <v>220</v>
      </c>
      <c r="Q128" s="9" t="str">
        <f>IFERROR(__xludf.DUMMYFUNCTION("""COMPUTED_VALUE"""),"Q3'23")</f>
        <v>Q3'23</v>
      </c>
      <c r="R128" s="9">
        <f>IFERROR(__xludf.DUMMYFUNCTION("""COMPUTED_VALUE"""),2.3134331297849102)</f>
        <v>2.31343313</v>
      </c>
    </row>
    <row r="129" ht="14.25" customHeight="1">
      <c r="A129" s="3" t="s">
        <v>10</v>
      </c>
      <c r="B129" s="6" t="s">
        <v>38</v>
      </c>
      <c r="C129" s="3" t="s">
        <v>40</v>
      </c>
      <c r="D129" s="3" t="s">
        <v>13</v>
      </c>
      <c r="E129" s="3" t="s">
        <v>29</v>
      </c>
      <c r="F129" s="3">
        <v>220.0</v>
      </c>
      <c r="G129" s="4" t="s">
        <v>22</v>
      </c>
      <c r="H129" s="3">
        <v>2.240791618743876</v>
      </c>
      <c r="K129" s="9" t="str">
        <f>IFERROR(__xludf.DUMMYFUNCTION("""COMPUTED_VALUE"""),"MT Urban")</f>
        <v>MT Urban</v>
      </c>
      <c r="L129" s="9" t="str">
        <f>IFERROR(__xludf.DUMMYFUNCTION("""COMPUTED_VALUE"""),"Joyi")</f>
        <v>Joyi</v>
      </c>
      <c r="M129" s="9" t="str">
        <f>IFERROR(__xludf.DUMMYFUNCTION("""COMPUTED_VALUE"""),"Star")</f>
        <v>Star</v>
      </c>
      <c r="N129" s="9" t="str">
        <f>IFERROR(__xludf.DUMMYFUNCTION("""COMPUTED_VALUE"""),"Sweetened")</f>
        <v>Sweetened</v>
      </c>
      <c r="O129" s="9" t="str">
        <f>IFERROR(__xludf.DUMMYFUNCTION("""COMPUTED_VALUE"""),"TFA")</f>
        <v>TFA</v>
      </c>
      <c r="P129" s="9">
        <f>IFERROR(__xludf.DUMMYFUNCTION("""COMPUTED_VALUE"""),220.0)</f>
        <v>220</v>
      </c>
      <c r="Q129" s="9" t="str">
        <f>IFERROR(__xludf.DUMMYFUNCTION("""COMPUTED_VALUE"""),"Q4'23")</f>
        <v>Q4'23</v>
      </c>
      <c r="R129" s="9">
        <f>IFERROR(__xludf.DUMMYFUNCTION("""COMPUTED_VALUE"""),2.240791618743876)</f>
        <v>2.240791619</v>
      </c>
    </row>
    <row r="130" ht="14.25" customHeight="1">
      <c r="A130" s="3" t="s">
        <v>10</v>
      </c>
      <c r="B130" s="3" t="s">
        <v>36</v>
      </c>
      <c r="C130" s="3" t="s">
        <v>36</v>
      </c>
      <c r="D130" s="3" t="s">
        <v>37</v>
      </c>
      <c r="E130" s="3" t="s">
        <v>14</v>
      </c>
      <c r="F130" s="3">
        <v>180.0</v>
      </c>
      <c r="G130" s="4" t="s">
        <v>15</v>
      </c>
      <c r="H130" s="3">
        <v>2.688683269225646</v>
      </c>
      <c r="K130" s="9" t="str">
        <f>IFERROR(__xludf.DUMMYFUNCTION("""COMPUTED_VALUE"""),"MT Urban")</f>
        <v>MT Urban</v>
      </c>
      <c r="L130" s="9" t="str">
        <f>IFERROR(__xludf.DUMMYFUNCTION("""COMPUTED_VALUE"""),"Goldmilk")</f>
        <v>Goldmilk</v>
      </c>
      <c r="M130" s="9" t="str">
        <f>IFERROR(__xludf.DUMMYFUNCTION("""COMPUTED_VALUE"""),"Goldmilk")</f>
        <v>Goldmilk</v>
      </c>
      <c r="N130" s="9" t="str">
        <f>IFERROR(__xludf.DUMMYFUNCTION("""COMPUTED_VALUE"""),"Less Sugar")</f>
        <v>Less Sugar</v>
      </c>
      <c r="O130" s="9" t="str">
        <f>IFERROR(__xludf.DUMMYFUNCTION("""COMPUTED_VALUE"""),"Carton")</f>
        <v>Carton</v>
      </c>
      <c r="P130" s="9">
        <f>IFERROR(__xludf.DUMMYFUNCTION("""COMPUTED_VALUE"""),180.0)</f>
        <v>180</v>
      </c>
      <c r="Q130" s="9" t="str">
        <f>IFERROR(__xludf.DUMMYFUNCTION("""COMPUTED_VALUE"""),"Q1'22")</f>
        <v>Q1'22</v>
      </c>
      <c r="R130" s="9">
        <f>IFERROR(__xludf.DUMMYFUNCTION("""COMPUTED_VALUE"""),2.688683269225646)</f>
        <v>2.688683269</v>
      </c>
    </row>
    <row r="131" ht="14.25" customHeight="1">
      <c r="A131" s="3" t="s">
        <v>10</v>
      </c>
      <c r="B131" s="3" t="s">
        <v>36</v>
      </c>
      <c r="C131" s="3" t="s">
        <v>36</v>
      </c>
      <c r="D131" s="3" t="s">
        <v>37</v>
      </c>
      <c r="E131" s="3" t="s">
        <v>14</v>
      </c>
      <c r="F131" s="3">
        <v>180.0</v>
      </c>
      <c r="G131" s="4" t="s">
        <v>16</v>
      </c>
      <c r="H131" s="3">
        <v>2.466491961257004</v>
      </c>
      <c r="K131" s="9" t="str">
        <f>IFERROR(__xludf.DUMMYFUNCTION("""COMPUTED_VALUE"""),"MT Urban")</f>
        <v>MT Urban</v>
      </c>
      <c r="L131" s="9" t="str">
        <f>IFERROR(__xludf.DUMMYFUNCTION("""COMPUTED_VALUE"""),"Goldmilk")</f>
        <v>Goldmilk</v>
      </c>
      <c r="M131" s="9" t="str">
        <f>IFERROR(__xludf.DUMMYFUNCTION("""COMPUTED_VALUE"""),"Goldmilk")</f>
        <v>Goldmilk</v>
      </c>
      <c r="N131" s="9" t="str">
        <f>IFERROR(__xludf.DUMMYFUNCTION("""COMPUTED_VALUE"""),"Less Sugar")</f>
        <v>Less Sugar</v>
      </c>
      <c r="O131" s="9" t="str">
        <f>IFERROR(__xludf.DUMMYFUNCTION("""COMPUTED_VALUE"""),"Carton")</f>
        <v>Carton</v>
      </c>
      <c r="P131" s="9">
        <f>IFERROR(__xludf.DUMMYFUNCTION("""COMPUTED_VALUE"""),180.0)</f>
        <v>180</v>
      </c>
      <c r="Q131" s="9" t="str">
        <f>IFERROR(__xludf.DUMMYFUNCTION("""COMPUTED_VALUE"""),"Q2'22")</f>
        <v>Q2'22</v>
      </c>
      <c r="R131" s="9">
        <f>IFERROR(__xludf.DUMMYFUNCTION("""COMPUTED_VALUE"""),2.466491961257004)</f>
        <v>2.466491961</v>
      </c>
    </row>
    <row r="132" ht="14.25" customHeight="1">
      <c r="A132" s="3" t="s">
        <v>10</v>
      </c>
      <c r="B132" s="3" t="s">
        <v>36</v>
      </c>
      <c r="C132" s="3" t="s">
        <v>36</v>
      </c>
      <c r="D132" s="3" t="s">
        <v>37</v>
      </c>
      <c r="E132" s="3" t="s">
        <v>14</v>
      </c>
      <c r="F132" s="3">
        <v>180.0</v>
      </c>
      <c r="G132" s="4" t="s">
        <v>17</v>
      </c>
      <c r="H132" s="3">
        <v>2.6187389611332956</v>
      </c>
      <c r="K132" s="9" t="str">
        <f>IFERROR(__xludf.DUMMYFUNCTION("""COMPUTED_VALUE"""),"MT Urban")</f>
        <v>MT Urban</v>
      </c>
      <c r="L132" s="9" t="str">
        <f>IFERROR(__xludf.DUMMYFUNCTION("""COMPUTED_VALUE"""),"Goldmilk")</f>
        <v>Goldmilk</v>
      </c>
      <c r="M132" s="9" t="str">
        <f>IFERROR(__xludf.DUMMYFUNCTION("""COMPUTED_VALUE"""),"Goldmilk")</f>
        <v>Goldmilk</v>
      </c>
      <c r="N132" s="9" t="str">
        <f>IFERROR(__xludf.DUMMYFUNCTION("""COMPUTED_VALUE"""),"Less Sugar")</f>
        <v>Less Sugar</v>
      </c>
      <c r="O132" s="9" t="str">
        <f>IFERROR(__xludf.DUMMYFUNCTION("""COMPUTED_VALUE"""),"Carton")</f>
        <v>Carton</v>
      </c>
      <c r="P132" s="9">
        <f>IFERROR(__xludf.DUMMYFUNCTION("""COMPUTED_VALUE"""),180.0)</f>
        <v>180</v>
      </c>
      <c r="Q132" s="9" t="str">
        <f>IFERROR(__xludf.DUMMYFUNCTION("""COMPUTED_VALUE"""),"Q3'22")</f>
        <v>Q3'22</v>
      </c>
      <c r="R132" s="9">
        <f>IFERROR(__xludf.DUMMYFUNCTION("""COMPUTED_VALUE"""),2.6187389611332956)</f>
        <v>2.618738961</v>
      </c>
    </row>
    <row r="133" ht="14.25" customHeight="1">
      <c r="A133" s="3" t="s">
        <v>10</v>
      </c>
      <c r="B133" s="3" t="s">
        <v>36</v>
      </c>
      <c r="C133" s="3" t="s">
        <v>36</v>
      </c>
      <c r="D133" s="3" t="s">
        <v>37</v>
      </c>
      <c r="E133" s="3" t="s">
        <v>14</v>
      </c>
      <c r="F133" s="3">
        <v>180.0</v>
      </c>
      <c r="G133" s="4" t="s">
        <v>18</v>
      </c>
      <c r="H133" s="3">
        <v>2.8592481227684168</v>
      </c>
      <c r="K133" s="9" t="str">
        <f>IFERROR(__xludf.DUMMYFUNCTION("""COMPUTED_VALUE"""),"MT Urban")</f>
        <v>MT Urban</v>
      </c>
      <c r="L133" s="9" t="str">
        <f>IFERROR(__xludf.DUMMYFUNCTION("""COMPUTED_VALUE"""),"Goldmilk")</f>
        <v>Goldmilk</v>
      </c>
      <c r="M133" s="9" t="str">
        <f>IFERROR(__xludf.DUMMYFUNCTION("""COMPUTED_VALUE"""),"Goldmilk")</f>
        <v>Goldmilk</v>
      </c>
      <c r="N133" s="9" t="str">
        <f>IFERROR(__xludf.DUMMYFUNCTION("""COMPUTED_VALUE"""),"Less Sugar")</f>
        <v>Less Sugar</v>
      </c>
      <c r="O133" s="9" t="str">
        <f>IFERROR(__xludf.DUMMYFUNCTION("""COMPUTED_VALUE"""),"Carton")</f>
        <v>Carton</v>
      </c>
      <c r="P133" s="9">
        <f>IFERROR(__xludf.DUMMYFUNCTION("""COMPUTED_VALUE"""),180.0)</f>
        <v>180</v>
      </c>
      <c r="Q133" s="9" t="str">
        <f>IFERROR(__xludf.DUMMYFUNCTION("""COMPUTED_VALUE"""),"Q4'22")</f>
        <v>Q4'22</v>
      </c>
      <c r="R133" s="9">
        <f>IFERROR(__xludf.DUMMYFUNCTION("""COMPUTED_VALUE"""),2.8592481227684168)</f>
        <v>2.859248123</v>
      </c>
    </row>
    <row r="134" ht="14.25" customHeight="1">
      <c r="A134" s="3" t="s">
        <v>10</v>
      </c>
      <c r="B134" s="3" t="s">
        <v>36</v>
      </c>
      <c r="C134" s="3" t="s">
        <v>36</v>
      </c>
      <c r="D134" s="3" t="s">
        <v>37</v>
      </c>
      <c r="E134" s="3" t="s">
        <v>14</v>
      </c>
      <c r="F134" s="3">
        <v>180.0</v>
      </c>
      <c r="G134" s="4" t="s">
        <v>19</v>
      </c>
      <c r="H134" s="3">
        <v>3.0848228745647357</v>
      </c>
      <c r="K134" s="9" t="str">
        <f>IFERROR(__xludf.DUMMYFUNCTION("""COMPUTED_VALUE"""),"MT Urban")</f>
        <v>MT Urban</v>
      </c>
      <c r="L134" s="9" t="str">
        <f>IFERROR(__xludf.DUMMYFUNCTION("""COMPUTED_VALUE"""),"Goldmilk")</f>
        <v>Goldmilk</v>
      </c>
      <c r="M134" s="9" t="str">
        <f>IFERROR(__xludf.DUMMYFUNCTION("""COMPUTED_VALUE"""),"Goldmilk")</f>
        <v>Goldmilk</v>
      </c>
      <c r="N134" s="9" t="str">
        <f>IFERROR(__xludf.DUMMYFUNCTION("""COMPUTED_VALUE"""),"Less Sugar")</f>
        <v>Less Sugar</v>
      </c>
      <c r="O134" s="9" t="str">
        <f>IFERROR(__xludf.DUMMYFUNCTION("""COMPUTED_VALUE"""),"Carton")</f>
        <v>Carton</v>
      </c>
      <c r="P134" s="9">
        <f>IFERROR(__xludf.DUMMYFUNCTION("""COMPUTED_VALUE"""),180.0)</f>
        <v>180</v>
      </c>
      <c r="Q134" s="9" t="str">
        <f>IFERROR(__xludf.DUMMYFUNCTION("""COMPUTED_VALUE"""),"Q1'23")</f>
        <v>Q1'23</v>
      </c>
      <c r="R134" s="9">
        <f>IFERROR(__xludf.DUMMYFUNCTION("""COMPUTED_VALUE"""),3.0848228745647357)</f>
        <v>3.084822875</v>
      </c>
    </row>
    <row r="135" ht="14.25" customHeight="1">
      <c r="A135" s="3" t="s">
        <v>10</v>
      </c>
      <c r="B135" s="3" t="s">
        <v>36</v>
      </c>
      <c r="C135" s="3" t="s">
        <v>36</v>
      </c>
      <c r="D135" s="3" t="s">
        <v>37</v>
      </c>
      <c r="E135" s="3" t="s">
        <v>14</v>
      </c>
      <c r="F135" s="3">
        <v>180.0</v>
      </c>
      <c r="G135" s="4" t="s">
        <v>20</v>
      </c>
      <c r="H135" s="3">
        <v>3.0603903875279084</v>
      </c>
      <c r="K135" s="9" t="str">
        <f>IFERROR(__xludf.DUMMYFUNCTION("""COMPUTED_VALUE"""),"MT Urban")</f>
        <v>MT Urban</v>
      </c>
      <c r="L135" s="9" t="str">
        <f>IFERROR(__xludf.DUMMYFUNCTION("""COMPUTED_VALUE"""),"Goldmilk")</f>
        <v>Goldmilk</v>
      </c>
      <c r="M135" s="9" t="str">
        <f>IFERROR(__xludf.DUMMYFUNCTION("""COMPUTED_VALUE"""),"Goldmilk")</f>
        <v>Goldmilk</v>
      </c>
      <c r="N135" s="9" t="str">
        <f>IFERROR(__xludf.DUMMYFUNCTION("""COMPUTED_VALUE"""),"Less Sugar")</f>
        <v>Less Sugar</v>
      </c>
      <c r="O135" s="9" t="str">
        <f>IFERROR(__xludf.DUMMYFUNCTION("""COMPUTED_VALUE"""),"Carton")</f>
        <v>Carton</v>
      </c>
      <c r="P135" s="9">
        <f>IFERROR(__xludf.DUMMYFUNCTION("""COMPUTED_VALUE"""),180.0)</f>
        <v>180</v>
      </c>
      <c r="Q135" s="9" t="str">
        <f>IFERROR(__xludf.DUMMYFUNCTION("""COMPUTED_VALUE"""),"Q2'23")</f>
        <v>Q2'23</v>
      </c>
      <c r="R135" s="9">
        <f>IFERROR(__xludf.DUMMYFUNCTION("""COMPUTED_VALUE"""),3.0603903875279084)</f>
        <v>3.060390388</v>
      </c>
    </row>
    <row r="136" ht="14.25" customHeight="1">
      <c r="A136" s="3" t="s">
        <v>10</v>
      </c>
      <c r="B136" s="3" t="s">
        <v>36</v>
      </c>
      <c r="C136" s="3" t="s">
        <v>36</v>
      </c>
      <c r="D136" s="3" t="s">
        <v>37</v>
      </c>
      <c r="E136" s="3" t="s">
        <v>14</v>
      </c>
      <c r="F136" s="3">
        <v>180.0</v>
      </c>
      <c r="G136" s="4" t="s">
        <v>21</v>
      </c>
      <c r="H136" s="3">
        <v>3.140808745277425</v>
      </c>
      <c r="K136" s="9" t="str">
        <f>IFERROR(__xludf.DUMMYFUNCTION("""COMPUTED_VALUE"""),"MT Urban")</f>
        <v>MT Urban</v>
      </c>
      <c r="L136" s="9" t="str">
        <f>IFERROR(__xludf.DUMMYFUNCTION("""COMPUTED_VALUE"""),"Goldmilk")</f>
        <v>Goldmilk</v>
      </c>
      <c r="M136" s="9" t="str">
        <f>IFERROR(__xludf.DUMMYFUNCTION("""COMPUTED_VALUE"""),"Goldmilk")</f>
        <v>Goldmilk</v>
      </c>
      <c r="N136" s="9" t="str">
        <f>IFERROR(__xludf.DUMMYFUNCTION("""COMPUTED_VALUE"""),"Less Sugar")</f>
        <v>Less Sugar</v>
      </c>
      <c r="O136" s="9" t="str">
        <f>IFERROR(__xludf.DUMMYFUNCTION("""COMPUTED_VALUE"""),"Carton")</f>
        <v>Carton</v>
      </c>
      <c r="P136" s="9">
        <f>IFERROR(__xludf.DUMMYFUNCTION("""COMPUTED_VALUE"""),180.0)</f>
        <v>180</v>
      </c>
      <c r="Q136" s="9" t="str">
        <f>IFERROR(__xludf.DUMMYFUNCTION("""COMPUTED_VALUE"""),"Q3'23")</f>
        <v>Q3'23</v>
      </c>
      <c r="R136" s="9">
        <f>IFERROR(__xludf.DUMMYFUNCTION("""COMPUTED_VALUE"""),3.140808745277425)</f>
        <v>3.140808745</v>
      </c>
    </row>
    <row r="137" ht="14.25" customHeight="1">
      <c r="A137" s="3" t="s">
        <v>10</v>
      </c>
      <c r="B137" s="3" t="s">
        <v>36</v>
      </c>
      <c r="C137" s="3" t="s">
        <v>36</v>
      </c>
      <c r="D137" s="3" t="s">
        <v>37</v>
      </c>
      <c r="E137" s="3" t="s">
        <v>14</v>
      </c>
      <c r="F137" s="3">
        <v>180.0</v>
      </c>
      <c r="G137" s="4" t="s">
        <v>22</v>
      </c>
      <c r="H137" s="3">
        <v>3.473746630007496</v>
      </c>
      <c r="K137" s="9" t="str">
        <f>IFERROR(__xludf.DUMMYFUNCTION("""COMPUTED_VALUE"""),"MT Urban")</f>
        <v>MT Urban</v>
      </c>
      <c r="L137" s="9" t="str">
        <f>IFERROR(__xludf.DUMMYFUNCTION("""COMPUTED_VALUE"""),"Goldmilk")</f>
        <v>Goldmilk</v>
      </c>
      <c r="M137" s="9" t="str">
        <f>IFERROR(__xludf.DUMMYFUNCTION("""COMPUTED_VALUE"""),"Goldmilk")</f>
        <v>Goldmilk</v>
      </c>
      <c r="N137" s="9" t="str">
        <f>IFERROR(__xludf.DUMMYFUNCTION("""COMPUTED_VALUE"""),"Less Sugar")</f>
        <v>Less Sugar</v>
      </c>
      <c r="O137" s="9" t="str">
        <f>IFERROR(__xludf.DUMMYFUNCTION("""COMPUTED_VALUE"""),"Carton")</f>
        <v>Carton</v>
      </c>
      <c r="P137" s="9">
        <f>IFERROR(__xludf.DUMMYFUNCTION("""COMPUTED_VALUE"""),180.0)</f>
        <v>180</v>
      </c>
      <c r="Q137" s="9" t="str">
        <f>IFERROR(__xludf.DUMMYFUNCTION("""COMPUTED_VALUE"""),"Q4'23")</f>
        <v>Q4'23</v>
      </c>
      <c r="R137" s="9">
        <f>IFERROR(__xludf.DUMMYFUNCTION("""COMPUTED_VALUE"""),3.473746630007496)</f>
        <v>3.47374663</v>
      </c>
    </row>
    <row r="138" ht="14.25" customHeight="1">
      <c r="A138" s="3" t="s">
        <v>10</v>
      </c>
      <c r="B138" s="3" t="s">
        <v>36</v>
      </c>
      <c r="C138" s="3" t="s">
        <v>36</v>
      </c>
      <c r="D138" s="3" t="s">
        <v>13</v>
      </c>
      <c r="E138" s="3" t="s">
        <v>14</v>
      </c>
      <c r="F138" s="3">
        <v>110.0</v>
      </c>
      <c r="G138" s="4" t="s">
        <v>15</v>
      </c>
      <c r="H138" s="3">
        <v>1.9173296337838275</v>
      </c>
      <c r="K138" s="9" t="str">
        <f>IFERROR(__xludf.DUMMYFUNCTION("""COMPUTED_VALUE"""),"MT Urban")</f>
        <v>MT Urban</v>
      </c>
      <c r="L138" s="9" t="str">
        <f>IFERROR(__xludf.DUMMYFUNCTION("""COMPUTED_VALUE"""),"Goldmilk")</f>
        <v>Goldmilk</v>
      </c>
      <c r="M138" s="9" t="str">
        <f>IFERROR(__xludf.DUMMYFUNCTION("""COMPUTED_VALUE"""),"Goldmilk")</f>
        <v>Goldmilk</v>
      </c>
      <c r="N138" s="9" t="str">
        <f>IFERROR(__xludf.DUMMYFUNCTION("""COMPUTED_VALUE"""),"Sweetened")</f>
        <v>Sweetened</v>
      </c>
      <c r="O138" s="9" t="str">
        <f>IFERROR(__xludf.DUMMYFUNCTION("""COMPUTED_VALUE"""),"Carton")</f>
        <v>Carton</v>
      </c>
      <c r="P138" s="9">
        <f>IFERROR(__xludf.DUMMYFUNCTION("""COMPUTED_VALUE"""),110.0)</f>
        <v>110</v>
      </c>
      <c r="Q138" s="9" t="str">
        <f>IFERROR(__xludf.DUMMYFUNCTION("""COMPUTED_VALUE"""),"Q1'22")</f>
        <v>Q1'22</v>
      </c>
      <c r="R138" s="9">
        <f>IFERROR(__xludf.DUMMYFUNCTION("""COMPUTED_VALUE"""),1.9173296337838275)</f>
        <v>1.917329634</v>
      </c>
    </row>
    <row r="139" ht="14.25" customHeight="1">
      <c r="A139" s="3" t="s">
        <v>10</v>
      </c>
      <c r="B139" s="3" t="s">
        <v>36</v>
      </c>
      <c r="C139" s="3" t="s">
        <v>36</v>
      </c>
      <c r="D139" s="3" t="s">
        <v>13</v>
      </c>
      <c r="E139" s="3" t="s">
        <v>14</v>
      </c>
      <c r="F139" s="3">
        <v>110.0</v>
      </c>
      <c r="G139" s="4" t="s">
        <v>16</v>
      </c>
      <c r="H139" s="3">
        <v>1.863005470261327</v>
      </c>
      <c r="K139" s="9" t="str">
        <f>IFERROR(__xludf.DUMMYFUNCTION("""COMPUTED_VALUE"""),"MT Urban")</f>
        <v>MT Urban</v>
      </c>
      <c r="L139" s="9" t="str">
        <f>IFERROR(__xludf.DUMMYFUNCTION("""COMPUTED_VALUE"""),"Goldmilk")</f>
        <v>Goldmilk</v>
      </c>
      <c r="M139" s="9" t="str">
        <f>IFERROR(__xludf.DUMMYFUNCTION("""COMPUTED_VALUE"""),"Goldmilk")</f>
        <v>Goldmilk</v>
      </c>
      <c r="N139" s="9" t="str">
        <f>IFERROR(__xludf.DUMMYFUNCTION("""COMPUTED_VALUE"""),"Sweetened")</f>
        <v>Sweetened</v>
      </c>
      <c r="O139" s="9" t="str">
        <f>IFERROR(__xludf.DUMMYFUNCTION("""COMPUTED_VALUE"""),"Carton")</f>
        <v>Carton</v>
      </c>
      <c r="P139" s="9">
        <f>IFERROR(__xludf.DUMMYFUNCTION("""COMPUTED_VALUE"""),110.0)</f>
        <v>110</v>
      </c>
      <c r="Q139" s="9" t="str">
        <f>IFERROR(__xludf.DUMMYFUNCTION("""COMPUTED_VALUE"""),"Q2'22")</f>
        <v>Q2'22</v>
      </c>
      <c r="R139" s="9">
        <f>IFERROR(__xludf.DUMMYFUNCTION("""COMPUTED_VALUE"""),1.863005470261327)</f>
        <v>1.86300547</v>
      </c>
    </row>
    <row r="140" ht="14.25" customHeight="1">
      <c r="A140" s="3" t="s">
        <v>10</v>
      </c>
      <c r="B140" s="3" t="s">
        <v>36</v>
      </c>
      <c r="C140" s="3" t="s">
        <v>36</v>
      </c>
      <c r="D140" s="3" t="s">
        <v>13</v>
      </c>
      <c r="E140" s="3" t="s">
        <v>14</v>
      </c>
      <c r="F140" s="3">
        <v>110.0</v>
      </c>
      <c r="G140" s="4" t="s">
        <v>17</v>
      </c>
      <c r="H140" s="3">
        <v>1.9361056685994977</v>
      </c>
      <c r="K140" s="9" t="str">
        <f>IFERROR(__xludf.DUMMYFUNCTION("""COMPUTED_VALUE"""),"MT Urban")</f>
        <v>MT Urban</v>
      </c>
      <c r="L140" s="9" t="str">
        <f>IFERROR(__xludf.DUMMYFUNCTION("""COMPUTED_VALUE"""),"Goldmilk")</f>
        <v>Goldmilk</v>
      </c>
      <c r="M140" s="9" t="str">
        <f>IFERROR(__xludf.DUMMYFUNCTION("""COMPUTED_VALUE"""),"Goldmilk")</f>
        <v>Goldmilk</v>
      </c>
      <c r="N140" s="9" t="str">
        <f>IFERROR(__xludf.DUMMYFUNCTION("""COMPUTED_VALUE"""),"Sweetened")</f>
        <v>Sweetened</v>
      </c>
      <c r="O140" s="9" t="str">
        <f>IFERROR(__xludf.DUMMYFUNCTION("""COMPUTED_VALUE"""),"Carton")</f>
        <v>Carton</v>
      </c>
      <c r="P140" s="9">
        <f>IFERROR(__xludf.DUMMYFUNCTION("""COMPUTED_VALUE"""),110.0)</f>
        <v>110</v>
      </c>
      <c r="Q140" s="9" t="str">
        <f>IFERROR(__xludf.DUMMYFUNCTION("""COMPUTED_VALUE"""),"Q3'22")</f>
        <v>Q3'22</v>
      </c>
      <c r="R140" s="9">
        <f>IFERROR(__xludf.DUMMYFUNCTION("""COMPUTED_VALUE"""),1.9361056685994977)</f>
        <v>1.936105669</v>
      </c>
    </row>
    <row r="141" ht="14.25" customHeight="1">
      <c r="A141" s="3" t="s">
        <v>10</v>
      </c>
      <c r="B141" s="3" t="s">
        <v>36</v>
      </c>
      <c r="C141" s="3" t="s">
        <v>36</v>
      </c>
      <c r="D141" s="3" t="s">
        <v>13</v>
      </c>
      <c r="E141" s="3" t="s">
        <v>14</v>
      </c>
      <c r="F141" s="3">
        <v>110.0</v>
      </c>
      <c r="G141" s="4" t="s">
        <v>18</v>
      </c>
      <c r="H141" s="3">
        <v>1.8649172189623062</v>
      </c>
      <c r="K141" s="9" t="str">
        <f>IFERROR(__xludf.DUMMYFUNCTION("""COMPUTED_VALUE"""),"MT Urban")</f>
        <v>MT Urban</v>
      </c>
      <c r="L141" s="9" t="str">
        <f>IFERROR(__xludf.DUMMYFUNCTION("""COMPUTED_VALUE"""),"Goldmilk")</f>
        <v>Goldmilk</v>
      </c>
      <c r="M141" s="9" t="str">
        <f>IFERROR(__xludf.DUMMYFUNCTION("""COMPUTED_VALUE"""),"Goldmilk")</f>
        <v>Goldmilk</v>
      </c>
      <c r="N141" s="9" t="str">
        <f>IFERROR(__xludf.DUMMYFUNCTION("""COMPUTED_VALUE"""),"Sweetened")</f>
        <v>Sweetened</v>
      </c>
      <c r="O141" s="9" t="str">
        <f>IFERROR(__xludf.DUMMYFUNCTION("""COMPUTED_VALUE"""),"Carton")</f>
        <v>Carton</v>
      </c>
      <c r="P141" s="9">
        <f>IFERROR(__xludf.DUMMYFUNCTION("""COMPUTED_VALUE"""),110.0)</f>
        <v>110</v>
      </c>
      <c r="Q141" s="9" t="str">
        <f>IFERROR(__xludf.DUMMYFUNCTION("""COMPUTED_VALUE"""),"Q4'22")</f>
        <v>Q4'22</v>
      </c>
      <c r="R141" s="9">
        <f>IFERROR(__xludf.DUMMYFUNCTION("""COMPUTED_VALUE"""),1.8649172189623062)</f>
        <v>1.864917219</v>
      </c>
    </row>
    <row r="142" ht="14.25" customHeight="1">
      <c r="A142" s="3" t="s">
        <v>10</v>
      </c>
      <c r="B142" s="3" t="s">
        <v>36</v>
      </c>
      <c r="C142" s="3" t="s">
        <v>36</v>
      </c>
      <c r="D142" s="3" t="s">
        <v>13</v>
      </c>
      <c r="E142" s="3" t="s">
        <v>14</v>
      </c>
      <c r="F142" s="3">
        <v>110.0</v>
      </c>
      <c r="G142" s="4" t="s">
        <v>19</v>
      </c>
      <c r="H142" s="3">
        <v>2.179940154970563</v>
      </c>
      <c r="K142" s="9" t="str">
        <f>IFERROR(__xludf.DUMMYFUNCTION("""COMPUTED_VALUE"""),"MT Urban")</f>
        <v>MT Urban</v>
      </c>
      <c r="L142" s="9" t="str">
        <f>IFERROR(__xludf.DUMMYFUNCTION("""COMPUTED_VALUE"""),"Goldmilk")</f>
        <v>Goldmilk</v>
      </c>
      <c r="M142" s="9" t="str">
        <f>IFERROR(__xludf.DUMMYFUNCTION("""COMPUTED_VALUE"""),"Goldmilk")</f>
        <v>Goldmilk</v>
      </c>
      <c r="N142" s="9" t="str">
        <f>IFERROR(__xludf.DUMMYFUNCTION("""COMPUTED_VALUE"""),"Sweetened")</f>
        <v>Sweetened</v>
      </c>
      <c r="O142" s="9" t="str">
        <f>IFERROR(__xludf.DUMMYFUNCTION("""COMPUTED_VALUE"""),"Carton")</f>
        <v>Carton</v>
      </c>
      <c r="P142" s="9">
        <f>IFERROR(__xludf.DUMMYFUNCTION("""COMPUTED_VALUE"""),110.0)</f>
        <v>110</v>
      </c>
      <c r="Q142" s="9" t="str">
        <f>IFERROR(__xludf.DUMMYFUNCTION("""COMPUTED_VALUE"""),"Q1'23")</f>
        <v>Q1'23</v>
      </c>
      <c r="R142" s="9">
        <f>IFERROR(__xludf.DUMMYFUNCTION("""COMPUTED_VALUE"""),2.179940154970563)</f>
        <v>2.179940155</v>
      </c>
    </row>
    <row r="143" ht="14.25" customHeight="1">
      <c r="A143" s="3" t="s">
        <v>10</v>
      </c>
      <c r="B143" s="3" t="s">
        <v>36</v>
      </c>
      <c r="C143" s="3" t="s">
        <v>36</v>
      </c>
      <c r="D143" s="3" t="s">
        <v>13</v>
      </c>
      <c r="E143" s="3" t="s">
        <v>14</v>
      </c>
      <c r="F143" s="3">
        <v>110.0</v>
      </c>
      <c r="G143" s="4" t="s">
        <v>20</v>
      </c>
      <c r="H143" s="3">
        <v>2.263728623525139</v>
      </c>
      <c r="K143" s="9" t="str">
        <f>IFERROR(__xludf.DUMMYFUNCTION("""COMPUTED_VALUE"""),"MT Urban")</f>
        <v>MT Urban</v>
      </c>
      <c r="L143" s="9" t="str">
        <f>IFERROR(__xludf.DUMMYFUNCTION("""COMPUTED_VALUE"""),"Goldmilk")</f>
        <v>Goldmilk</v>
      </c>
      <c r="M143" s="9" t="str">
        <f>IFERROR(__xludf.DUMMYFUNCTION("""COMPUTED_VALUE"""),"Goldmilk")</f>
        <v>Goldmilk</v>
      </c>
      <c r="N143" s="9" t="str">
        <f>IFERROR(__xludf.DUMMYFUNCTION("""COMPUTED_VALUE"""),"Sweetened")</f>
        <v>Sweetened</v>
      </c>
      <c r="O143" s="9" t="str">
        <f>IFERROR(__xludf.DUMMYFUNCTION("""COMPUTED_VALUE"""),"Carton")</f>
        <v>Carton</v>
      </c>
      <c r="P143" s="9">
        <f>IFERROR(__xludf.DUMMYFUNCTION("""COMPUTED_VALUE"""),110.0)</f>
        <v>110</v>
      </c>
      <c r="Q143" s="9" t="str">
        <f>IFERROR(__xludf.DUMMYFUNCTION("""COMPUTED_VALUE"""),"Q2'23")</f>
        <v>Q2'23</v>
      </c>
      <c r="R143" s="9">
        <f>IFERROR(__xludf.DUMMYFUNCTION("""COMPUTED_VALUE"""),2.263728623525139)</f>
        <v>2.263728624</v>
      </c>
    </row>
    <row r="144" ht="14.25" customHeight="1">
      <c r="A144" s="3" t="s">
        <v>10</v>
      </c>
      <c r="B144" s="3" t="s">
        <v>36</v>
      </c>
      <c r="C144" s="3" t="s">
        <v>36</v>
      </c>
      <c r="D144" s="3" t="s">
        <v>13</v>
      </c>
      <c r="E144" s="3" t="s">
        <v>14</v>
      </c>
      <c r="F144" s="3">
        <v>110.0</v>
      </c>
      <c r="G144" s="4" t="s">
        <v>21</v>
      </c>
      <c r="H144" s="3">
        <v>2.3110860899406167</v>
      </c>
      <c r="K144" s="9" t="str">
        <f>IFERROR(__xludf.DUMMYFUNCTION("""COMPUTED_VALUE"""),"MT Urban")</f>
        <v>MT Urban</v>
      </c>
      <c r="L144" s="9" t="str">
        <f>IFERROR(__xludf.DUMMYFUNCTION("""COMPUTED_VALUE"""),"Goldmilk")</f>
        <v>Goldmilk</v>
      </c>
      <c r="M144" s="9" t="str">
        <f>IFERROR(__xludf.DUMMYFUNCTION("""COMPUTED_VALUE"""),"Goldmilk")</f>
        <v>Goldmilk</v>
      </c>
      <c r="N144" s="9" t="str">
        <f>IFERROR(__xludf.DUMMYFUNCTION("""COMPUTED_VALUE"""),"Sweetened")</f>
        <v>Sweetened</v>
      </c>
      <c r="O144" s="9" t="str">
        <f>IFERROR(__xludf.DUMMYFUNCTION("""COMPUTED_VALUE"""),"Carton")</f>
        <v>Carton</v>
      </c>
      <c r="P144" s="9">
        <f>IFERROR(__xludf.DUMMYFUNCTION("""COMPUTED_VALUE"""),110.0)</f>
        <v>110</v>
      </c>
      <c r="Q144" s="9" t="str">
        <f>IFERROR(__xludf.DUMMYFUNCTION("""COMPUTED_VALUE"""),"Q3'23")</f>
        <v>Q3'23</v>
      </c>
      <c r="R144" s="9">
        <f>IFERROR(__xludf.DUMMYFUNCTION("""COMPUTED_VALUE"""),2.3110860899406167)</f>
        <v>2.31108609</v>
      </c>
    </row>
    <row r="145" ht="14.25" customHeight="1">
      <c r="A145" s="3" t="s">
        <v>10</v>
      </c>
      <c r="B145" s="3" t="s">
        <v>36</v>
      </c>
      <c r="C145" s="3" t="s">
        <v>36</v>
      </c>
      <c r="D145" s="3" t="s">
        <v>13</v>
      </c>
      <c r="E145" s="3" t="s">
        <v>14</v>
      </c>
      <c r="F145" s="3">
        <v>110.0</v>
      </c>
      <c r="G145" s="4" t="s">
        <v>22</v>
      </c>
      <c r="H145" s="3">
        <v>2.308773938017404</v>
      </c>
      <c r="K145" s="9" t="str">
        <f>IFERROR(__xludf.DUMMYFUNCTION("""COMPUTED_VALUE"""),"MT Urban")</f>
        <v>MT Urban</v>
      </c>
      <c r="L145" s="9" t="str">
        <f>IFERROR(__xludf.DUMMYFUNCTION("""COMPUTED_VALUE"""),"Goldmilk")</f>
        <v>Goldmilk</v>
      </c>
      <c r="M145" s="9" t="str">
        <f>IFERROR(__xludf.DUMMYFUNCTION("""COMPUTED_VALUE"""),"Goldmilk")</f>
        <v>Goldmilk</v>
      </c>
      <c r="N145" s="9" t="str">
        <f>IFERROR(__xludf.DUMMYFUNCTION("""COMPUTED_VALUE"""),"Sweetened")</f>
        <v>Sweetened</v>
      </c>
      <c r="O145" s="9" t="str">
        <f>IFERROR(__xludf.DUMMYFUNCTION("""COMPUTED_VALUE"""),"Carton")</f>
        <v>Carton</v>
      </c>
      <c r="P145" s="9">
        <f>IFERROR(__xludf.DUMMYFUNCTION("""COMPUTED_VALUE"""),110.0)</f>
        <v>110</v>
      </c>
      <c r="Q145" s="9" t="str">
        <f>IFERROR(__xludf.DUMMYFUNCTION("""COMPUTED_VALUE"""),"Q4'23")</f>
        <v>Q4'23</v>
      </c>
      <c r="R145" s="9">
        <f>IFERROR(__xludf.DUMMYFUNCTION("""COMPUTED_VALUE"""),2.308773938017404)</f>
        <v>2.308773938</v>
      </c>
    </row>
    <row r="146" ht="14.25" customHeight="1">
      <c r="A146" s="3" t="s">
        <v>10</v>
      </c>
      <c r="B146" s="3" t="s">
        <v>36</v>
      </c>
      <c r="C146" s="3" t="s">
        <v>36</v>
      </c>
      <c r="D146" s="3" t="s">
        <v>13</v>
      </c>
      <c r="E146" s="3" t="s">
        <v>14</v>
      </c>
      <c r="F146" s="3">
        <v>180.0</v>
      </c>
      <c r="G146" s="4" t="s">
        <v>15</v>
      </c>
      <c r="H146" s="3">
        <v>5.621699214507088</v>
      </c>
      <c r="K146" s="9" t="str">
        <f>IFERROR(__xludf.DUMMYFUNCTION("""COMPUTED_VALUE"""),"MT Urban")</f>
        <v>MT Urban</v>
      </c>
      <c r="L146" s="9" t="str">
        <f>IFERROR(__xludf.DUMMYFUNCTION("""COMPUTED_VALUE"""),"Goldmilk")</f>
        <v>Goldmilk</v>
      </c>
      <c r="M146" s="9" t="str">
        <f>IFERROR(__xludf.DUMMYFUNCTION("""COMPUTED_VALUE"""),"Goldmilk")</f>
        <v>Goldmilk</v>
      </c>
      <c r="N146" s="9" t="str">
        <f>IFERROR(__xludf.DUMMYFUNCTION("""COMPUTED_VALUE"""),"Sweetened")</f>
        <v>Sweetened</v>
      </c>
      <c r="O146" s="9" t="str">
        <f>IFERROR(__xludf.DUMMYFUNCTION("""COMPUTED_VALUE"""),"Carton")</f>
        <v>Carton</v>
      </c>
      <c r="P146" s="9">
        <f>IFERROR(__xludf.DUMMYFUNCTION("""COMPUTED_VALUE"""),180.0)</f>
        <v>180</v>
      </c>
      <c r="Q146" s="9" t="str">
        <f>IFERROR(__xludf.DUMMYFUNCTION("""COMPUTED_VALUE"""),"Q1'22")</f>
        <v>Q1'22</v>
      </c>
      <c r="R146" s="9">
        <f>IFERROR(__xludf.DUMMYFUNCTION("""COMPUTED_VALUE"""),5.621699214507088)</f>
        <v>5.621699215</v>
      </c>
    </row>
    <row r="147" ht="14.25" customHeight="1">
      <c r="A147" s="3" t="s">
        <v>10</v>
      </c>
      <c r="B147" s="3" t="s">
        <v>36</v>
      </c>
      <c r="C147" s="3" t="s">
        <v>36</v>
      </c>
      <c r="D147" s="3" t="s">
        <v>13</v>
      </c>
      <c r="E147" s="3" t="s">
        <v>14</v>
      </c>
      <c r="F147" s="3">
        <v>180.0</v>
      </c>
      <c r="G147" s="4" t="s">
        <v>16</v>
      </c>
      <c r="H147" s="3">
        <v>5.23435829983153</v>
      </c>
      <c r="K147" s="9" t="str">
        <f>IFERROR(__xludf.DUMMYFUNCTION("""COMPUTED_VALUE"""),"MT Urban")</f>
        <v>MT Urban</v>
      </c>
      <c r="L147" s="9" t="str">
        <f>IFERROR(__xludf.DUMMYFUNCTION("""COMPUTED_VALUE"""),"Goldmilk")</f>
        <v>Goldmilk</v>
      </c>
      <c r="M147" s="9" t="str">
        <f>IFERROR(__xludf.DUMMYFUNCTION("""COMPUTED_VALUE"""),"Goldmilk")</f>
        <v>Goldmilk</v>
      </c>
      <c r="N147" s="9" t="str">
        <f>IFERROR(__xludf.DUMMYFUNCTION("""COMPUTED_VALUE"""),"Sweetened")</f>
        <v>Sweetened</v>
      </c>
      <c r="O147" s="9" t="str">
        <f>IFERROR(__xludf.DUMMYFUNCTION("""COMPUTED_VALUE"""),"Carton")</f>
        <v>Carton</v>
      </c>
      <c r="P147" s="9">
        <f>IFERROR(__xludf.DUMMYFUNCTION("""COMPUTED_VALUE"""),180.0)</f>
        <v>180</v>
      </c>
      <c r="Q147" s="9" t="str">
        <f>IFERROR(__xludf.DUMMYFUNCTION("""COMPUTED_VALUE"""),"Q2'22")</f>
        <v>Q2'22</v>
      </c>
      <c r="R147" s="9">
        <f>IFERROR(__xludf.DUMMYFUNCTION("""COMPUTED_VALUE"""),5.23435829983153)</f>
        <v>5.2343583</v>
      </c>
    </row>
    <row r="148" ht="14.25" customHeight="1">
      <c r="A148" s="3" t="s">
        <v>10</v>
      </c>
      <c r="B148" s="3" t="s">
        <v>36</v>
      </c>
      <c r="C148" s="3" t="s">
        <v>36</v>
      </c>
      <c r="D148" s="3" t="s">
        <v>13</v>
      </c>
      <c r="E148" s="3" t="s">
        <v>14</v>
      </c>
      <c r="F148" s="3">
        <v>180.0</v>
      </c>
      <c r="G148" s="4" t="s">
        <v>17</v>
      </c>
      <c r="H148" s="3">
        <v>5.066554726780812</v>
      </c>
      <c r="K148" s="9" t="str">
        <f>IFERROR(__xludf.DUMMYFUNCTION("""COMPUTED_VALUE"""),"MT Urban")</f>
        <v>MT Urban</v>
      </c>
      <c r="L148" s="9" t="str">
        <f>IFERROR(__xludf.DUMMYFUNCTION("""COMPUTED_VALUE"""),"Goldmilk")</f>
        <v>Goldmilk</v>
      </c>
      <c r="M148" s="9" t="str">
        <f>IFERROR(__xludf.DUMMYFUNCTION("""COMPUTED_VALUE"""),"Goldmilk")</f>
        <v>Goldmilk</v>
      </c>
      <c r="N148" s="9" t="str">
        <f>IFERROR(__xludf.DUMMYFUNCTION("""COMPUTED_VALUE"""),"Sweetened")</f>
        <v>Sweetened</v>
      </c>
      <c r="O148" s="9" t="str">
        <f>IFERROR(__xludf.DUMMYFUNCTION("""COMPUTED_VALUE"""),"Carton")</f>
        <v>Carton</v>
      </c>
      <c r="P148" s="9">
        <f>IFERROR(__xludf.DUMMYFUNCTION("""COMPUTED_VALUE"""),180.0)</f>
        <v>180</v>
      </c>
      <c r="Q148" s="9" t="str">
        <f>IFERROR(__xludf.DUMMYFUNCTION("""COMPUTED_VALUE"""),"Q3'22")</f>
        <v>Q3'22</v>
      </c>
      <c r="R148" s="9">
        <f>IFERROR(__xludf.DUMMYFUNCTION("""COMPUTED_VALUE"""),5.066554726780812)</f>
        <v>5.066554727</v>
      </c>
    </row>
    <row r="149" ht="14.25" customHeight="1">
      <c r="A149" s="3" t="s">
        <v>10</v>
      </c>
      <c r="B149" s="3" t="s">
        <v>36</v>
      </c>
      <c r="C149" s="3" t="s">
        <v>36</v>
      </c>
      <c r="D149" s="3" t="s">
        <v>13</v>
      </c>
      <c r="E149" s="3" t="s">
        <v>14</v>
      </c>
      <c r="F149" s="3">
        <v>180.0</v>
      </c>
      <c r="G149" s="4" t="s">
        <v>18</v>
      </c>
      <c r="H149" s="3">
        <v>5.043207162993403</v>
      </c>
      <c r="K149" s="9" t="str">
        <f>IFERROR(__xludf.DUMMYFUNCTION("""COMPUTED_VALUE"""),"MT Urban")</f>
        <v>MT Urban</v>
      </c>
      <c r="L149" s="9" t="str">
        <f>IFERROR(__xludf.DUMMYFUNCTION("""COMPUTED_VALUE"""),"Goldmilk")</f>
        <v>Goldmilk</v>
      </c>
      <c r="M149" s="9" t="str">
        <f>IFERROR(__xludf.DUMMYFUNCTION("""COMPUTED_VALUE"""),"Goldmilk")</f>
        <v>Goldmilk</v>
      </c>
      <c r="N149" s="9" t="str">
        <f>IFERROR(__xludf.DUMMYFUNCTION("""COMPUTED_VALUE"""),"Sweetened")</f>
        <v>Sweetened</v>
      </c>
      <c r="O149" s="9" t="str">
        <f>IFERROR(__xludf.DUMMYFUNCTION("""COMPUTED_VALUE"""),"Carton")</f>
        <v>Carton</v>
      </c>
      <c r="P149" s="9">
        <f>IFERROR(__xludf.DUMMYFUNCTION("""COMPUTED_VALUE"""),180.0)</f>
        <v>180</v>
      </c>
      <c r="Q149" s="9" t="str">
        <f>IFERROR(__xludf.DUMMYFUNCTION("""COMPUTED_VALUE"""),"Q4'22")</f>
        <v>Q4'22</v>
      </c>
      <c r="R149" s="9">
        <f>IFERROR(__xludf.DUMMYFUNCTION("""COMPUTED_VALUE"""),5.043207162993403)</f>
        <v>5.043207163</v>
      </c>
    </row>
    <row r="150" ht="14.25" customHeight="1">
      <c r="A150" s="3" t="s">
        <v>10</v>
      </c>
      <c r="B150" s="3" t="s">
        <v>36</v>
      </c>
      <c r="C150" s="3" t="s">
        <v>36</v>
      </c>
      <c r="D150" s="3" t="s">
        <v>13</v>
      </c>
      <c r="E150" s="3" t="s">
        <v>14</v>
      </c>
      <c r="F150" s="3">
        <v>180.0</v>
      </c>
      <c r="G150" s="4" t="s">
        <v>19</v>
      </c>
      <c r="H150" s="3">
        <v>5.69926653114384</v>
      </c>
      <c r="K150" s="9" t="str">
        <f>IFERROR(__xludf.DUMMYFUNCTION("""COMPUTED_VALUE"""),"MT Urban")</f>
        <v>MT Urban</v>
      </c>
      <c r="L150" s="9" t="str">
        <f>IFERROR(__xludf.DUMMYFUNCTION("""COMPUTED_VALUE"""),"Goldmilk")</f>
        <v>Goldmilk</v>
      </c>
      <c r="M150" s="9" t="str">
        <f>IFERROR(__xludf.DUMMYFUNCTION("""COMPUTED_VALUE"""),"Goldmilk")</f>
        <v>Goldmilk</v>
      </c>
      <c r="N150" s="9" t="str">
        <f>IFERROR(__xludf.DUMMYFUNCTION("""COMPUTED_VALUE"""),"Sweetened")</f>
        <v>Sweetened</v>
      </c>
      <c r="O150" s="9" t="str">
        <f>IFERROR(__xludf.DUMMYFUNCTION("""COMPUTED_VALUE"""),"Carton")</f>
        <v>Carton</v>
      </c>
      <c r="P150" s="9">
        <f>IFERROR(__xludf.DUMMYFUNCTION("""COMPUTED_VALUE"""),180.0)</f>
        <v>180</v>
      </c>
      <c r="Q150" s="9" t="str">
        <f>IFERROR(__xludf.DUMMYFUNCTION("""COMPUTED_VALUE"""),"Q1'23")</f>
        <v>Q1'23</v>
      </c>
      <c r="R150" s="9">
        <f>IFERROR(__xludf.DUMMYFUNCTION("""COMPUTED_VALUE"""),5.69926653114384)</f>
        <v>5.699266531</v>
      </c>
    </row>
    <row r="151" ht="14.25" customHeight="1">
      <c r="A151" s="3" t="s">
        <v>10</v>
      </c>
      <c r="B151" s="3" t="s">
        <v>36</v>
      </c>
      <c r="C151" s="3" t="s">
        <v>36</v>
      </c>
      <c r="D151" s="3" t="s">
        <v>13</v>
      </c>
      <c r="E151" s="3" t="s">
        <v>14</v>
      </c>
      <c r="F151" s="3">
        <v>180.0</v>
      </c>
      <c r="G151" s="4" t="s">
        <v>20</v>
      </c>
      <c r="H151" s="3">
        <v>5.694811370903649</v>
      </c>
      <c r="K151" s="9" t="str">
        <f>IFERROR(__xludf.DUMMYFUNCTION("""COMPUTED_VALUE"""),"MT Urban")</f>
        <v>MT Urban</v>
      </c>
      <c r="L151" s="9" t="str">
        <f>IFERROR(__xludf.DUMMYFUNCTION("""COMPUTED_VALUE"""),"Goldmilk")</f>
        <v>Goldmilk</v>
      </c>
      <c r="M151" s="9" t="str">
        <f>IFERROR(__xludf.DUMMYFUNCTION("""COMPUTED_VALUE"""),"Goldmilk")</f>
        <v>Goldmilk</v>
      </c>
      <c r="N151" s="9" t="str">
        <f>IFERROR(__xludf.DUMMYFUNCTION("""COMPUTED_VALUE"""),"Sweetened")</f>
        <v>Sweetened</v>
      </c>
      <c r="O151" s="9" t="str">
        <f>IFERROR(__xludf.DUMMYFUNCTION("""COMPUTED_VALUE"""),"Carton")</f>
        <v>Carton</v>
      </c>
      <c r="P151" s="9">
        <f>IFERROR(__xludf.DUMMYFUNCTION("""COMPUTED_VALUE"""),180.0)</f>
        <v>180</v>
      </c>
      <c r="Q151" s="9" t="str">
        <f>IFERROR(__xludf.DUMMYFUNCTION("""COMPUTED_VALUE"""),"Q2'23")</f>
        <v>Q2'23</v>
      </c>
      <c r="R151" s="9">
        <f>IFERROR(__xludf.DUMMYFUNCTION("""COMPUTED_VALUE"""),5.694811370903649)</f>
        <v>5.694811371</v>
      </c>
    </row>
    <row r="152" ht="14.25" customHeight="1">
      <c r="A152" s="3" t="s">
        <v>10</v>
      </c>
      <c r="B152" s="3" t="s">
        <v>36</v>
      </c>
      <c r="C152" s="3" t="s">
        <v>36</v>
      </c>
      <c r="D152" s="3" t="s">
        <v>13</v>
      </c>
      <c r="E152" s="3" t="s">
        <v>14</v>
      </c>
      <c r="F152" s="3">
        <v>180.0</v>
      </c>
      <c r="G152" s="4" t="s">
        <v>21</v>
      </c>
      <c r="H152" s="3">
        <v>5.382493047552052</v>
      </c>
      <c r="K152" s="9" t="str">
        <f>IFERROR(__xludf.DUMMYFUNCTION("""COMPUTED_VALUE"""),"MT Urban")</f>
        <v>MT Urban</v>
      </c>
      <c r="L152" s="9" t="str">
        <f>IFERROR(__xludf.DUMMYFUNCTION("""COMPUTED_VALUE"""),"Goldmilk")</f>
        <v>Goldmilk</v>
      </c>
      <c r="M152" s="9" t="str">
        <f>IFERROR(__xludf.DUMMYFUNCTION("""COMPUTED_VALUE"""),"Goldmilk")</f>
        <v>Goldmilk</v>
      </c>
      <c r="N152" s="9" t="str">
        <f>IFERROR(__xludf.DUMMYFUNCTION("""COMPUTED_VALUE"""),"Sweetened")</f>
        <v>Sweetened</v>
      </c>
      <c r="O152" s="9" t="str">
        <f>IFERROR(__xludf.DUMMYFUNCTION("""COMPUTED_VALUE"""),"Carton")</f>
        <v>Carton</v>
      </c>
      <c r="P152" s="9">
        <f>IFERROR(__xludf.DUMMYFUNCTION("""COMPUTED_VALUE"""),180.0)</f>
        <v>180</v>
      </c>
      <c r="Q152" s="9" t="str">
        <f>IFERROR(__xludf.DUMMYFUNCTION("""COMPUTED_VALUE"""),"Q3'23")</f>
        <v>Q3'23</v>
      </c>
      <c r="R152" s="9">
        <f>IFERROR(__xludf.DUMMYFUNCTION("""COMPUTED_VALUE"""),5.382493047552052)</f>
        <v>5.382493048</v>
      </c>
    </row>
    <row r="153" ht="14.25" customHeight="1">
      <c r="A153" s="3" t="s">
        <v>10</v>
      </c>
      <c r="B153" s="3" t="s">
        <v>36</v>
      </c>
      <c r="C153" s="3" t="s">
        <v>36</v>
      </c>
      <c r="D153" s="3" t="s">
        <v>13</v>
      </c>
      <c r="E153" s="3" t="s">
        <v>14</v>
      </c>
      <c r="F153" s="3">
        <v>180.0</v>
      </c>
      <c r="G153" s="4" t="s">
        <v>22</v>
      </c>
      <c r="H153" s="3">
        <v>5.437936668040352</v>
      </c>
      <c r="K153" s="9" t="str">
        <f>IFERROR(__xludf.DUMMYFUNCTION("""COMPUTED_VALUE"""),"MT Urban")</f>
        <v>MT Urban</v>
      </c>
      <c r="L153" s="9" t="str">
        <f>IFERROR(__xludf.DUMMYFUNCTION("""COMPUTED_VALUE"""),"Goldmilk")</f>
        <v>Goldmilk</v>
      </c>
      <c r="M153" s="9" t="str">
        <f>IFERROR(__xludf.DUMMYFUNCTION("""COMPUTED_VALUE"""),"Goldmilk")</f>
        <v>Goldmilk</v>
      </c>
      <c r="N153" s="9" t="str">
        <f>IFERROR(__xludf.DUMMYFUNCTION("""COMPUTED_VALUE"""),"Sweetened")</f>
        <v>Sweetened</v>
      </c>
      <c r="O153" s="9" t="str">
        <f>IFERROR(__xludf.DUMMYFUNCTION("""COMPUTED_VALUE"""),"Carton")</f>
        <v>Carton</v>
      </c>
      <c r="P153" s="9">
        <f>IFERROR(__xludf.DUMMYFUNCTION("""COMPUTED_VALUE"""),180.0)</f>
        <v>180</v>
      </c>
      <c r="Q153" s="9" t="str">
        <f>IFERROR(__xludf.DUMMYFUNCTION("""COMPUTED_VALUE"""),"Q4'23")</f>
        <v>Q4'23</v>
      </c>
      <c r="R153" s="9">
        <f>IFERROR(__xludf.DUMMYFUNCTION("""COMPUTED_VALUE"""),5.437936668040352)</f>
        <v>5.437936668</v>
      </c>
    </row>
    <row r="154" ht="14.25" customHeight="1">
      <c r="A154" s="3" t="s">
        <v>10</v>
      </c>
      <c r="B154" s="3" t="s">
        <v>32</v>
      </c>
      <c r="C154" s="3" t="s">
        <v>46</v>
      </c>
      <c r="D154" s="3" t="s">
        <v>34</v>
      </c>
      <c r="E154" s="3" t="s">
        <v>14</v>
      </c>
      <c r="F154" s="3">
        <v>110.0</v>
      </c>
      <c r="G154" s="4" t="s">
        <v>15</v>
      </c>
      <c r="H154" s="3">
        <v>1.7871344625171228</v>
      </c>
      <c r="K154" s="9" t="str">
        <f>IFERROR(__xludf.DUMMYFUNCTION("""COMPUTED_VALUE"""),"MT Urban")</f>
        <v>MT Urban</v>
      </c>
      <c r="L154" s="9" t="str">
        <f>IFERROR(__xludf.DUMMYFUNCTION("""COMPUTED_VALUE"""),"Farmy")</f>
        <v>Farmy</v>
      </c>
      <c r="M154" s="9" t="str">
        <f>IFERROR(__xludf.DUMMYFUNCTION("""COMPUTED_VALUE"""),"Pro Plus ")</f>
        <v>Pro Plus </v>
      </c>
      <c r="N154" s="9" t="str">
        <f>IFERROR(__xludf.DUMMYFUNCTION("""COMPUTED_VALUE"""),"Vanilla")</f>
        <v>Vanilla</v>
      </c>
      <c r="O154" s="9" t="str">
        <f>IFERROR(__xludf.DUMMYFUNCTION("""COMPUTED_VALUE"""),"Carton")</f>
        <v>Carton</v>
      </c>
      <c r="P154" s="9">
        <f>IFERROR(__xludf.DUMMYFUNCTION("""COMPUTED_VALUE"""),110.0)</f>
        <v>110</v>
      </c>
      <c r="Q154" s="9" t="str">
        <f>IFERROR(__xludf.DUMMYFUNCTION("""COMPUTED_VALUE"""),"Q1'22")</f>
        <v>Q1'22</v>
      </c>
      <c r="R154" s="9">
        <f>IFERROR(__xludf.DUMMYFUNCTION("""COMPUTED_VALUE"""),1.7871344625171228)</f>
        <v>1.787134463</v>
      </c>
    </row>
    <row r="155" ht="14.25" customHeight="1">
      <c r="A155" s="3" t="s">
        <v>10</v>
      </c>
      <c r="B155" s="3" t="s">
        <v>32</v>
      </c>
      <c r="C155" s="3" t="s">
        <v>46</v>
      </c>
      <c r="D155" s="3" t="s">
        <v>34</v>
      </c>
      <c r="E155" s="3" t="s">
        <v>14</v>
      </c>
      <c r="F155" s="3">
        <v>110.0</v>
      </c>
      <c r="G155" s="4" t="s">
        <v>16</v>
      </c>
      <c r="H155" s="3">
        <v>2.035381956069278</v>
      </c>
      <c r="K155" s="9" t="str">
        <f>IFERROR(__xludf.DUMMYFUNCTION("""COMPUTED_VALUE"""),"MT Urban")</f>
        <v>MT Urban</v>
      </c>
      <c r="L155" s="9" t="str">
        <f>IFERROR(__xludf.DUMMYFUNCTION("""COMPUTED_VALUE"""),"Farmy")</f>
        <v>Farmy</v>
      </c>
      <c r="M155" s="9" t="str">
        <f>IFERROR(__xludf.DUMMYFUNCTION("""COMPUTED_VALUE"""),"Pro Plus ")</f>
        <v>Pro Plus </v>
      </c>
      <c r="N155" s="9" t="str">
        <f>IFERROR(__xludf.DUMMYFUNCTION("""COMPUTED_VALUE"""),"Vanilla")</f>
        <v>Vanilla</v>
      </c>
      <c r="O155" s="9" t="str">
        <f>IFERROR(__xludf.DUMMYFUNCTION("""COMPUTED_VALUE"""),"Carton")</f>
        <v>Carton</v>
      </c>
      <c r="P155" s="9">
        <f>IFERROR(__xludf.DUMMYFUNCTION("""COMPUTED_VALUE"""),110.0)</f>
        <v>110</v>
      </c>
      <c r="Q155" s="9" t="str">
        <f>IFERROR(__xludf.DUMMYFUNCTION("""COMPUTED_VALUE"""),"Q2'22")</f>
        <v>Q2'22</v>
      </c>
      <c r="R155" s="9">
        <f>IFERROR(__xludf.DUMMYFUNCTION("""COMPUTED_VALUE"""),2.035381956069278)</f>
        <v>2.035381956</v>
      </c>
    </row>
    <row r="156" ht="14.25" customHeight="1">
      <c r="A156" s="3" t="s">
        <v>10</v>
      </c>
      <c r="B156" s="3" t="s">
        <v>32</v>
      </c>
      <c r="C156" s="3" t="s">
        <v>46</v>
      </c>
      <c r="D156" s="3" t="s">
        <v>34</v>
      </c>
      <c r="E156" s="3" t="s">
        <v>14</v>
      </c>
      <c r="F156" s="3">
        <v>110.0</v>
      </c>
      <c r="G156" s="4" t="s">
        <v>17</v>
      </c>
      <c r="H156" s="3">
        <v>2.109078179899944</v>
      </c>
      <c r="K156" s="9" t="str">
        <f>IFERROR(__xludf.DUMMYFUNCTION("""COMPUTED_VALUE"""),"MT Urban")</f>
        <v>MT Urban</v>
      </c>
      <c r="L156" s="9" t="str">
        <f>IFERROR(__xludf.DUMMYFUNCTION("""COMPUTED_VALUE"""),"Farmy")</f>
        <v>Farmy</v>
      </c>
      <c r="M156" s="9" t="str">
        <f>IFERROR(__xludf.DUMMYFUNCTION("""COMPUTED_VALUE"""),"Pro Plus ")</f>
        <v>Pro Plus </v>
      </c>
      <c r="N156" s="9" t="str">
        <f>IFERROR(__xludf.DUMMYFUNCTION("""COMPUTED_VALUE"""),"Vanilla")</f>
        <v>Vanilla</v>
      </c>
      <c r="O156" s="9" t="str">
        <f>IFERROR(__xludf.DUMMYFUNCTION("""COMPUTED_VALUE"""),"Carton")</f>
        <v>Carton</v>
      </c>
      <c r="P156" s="9">
        <f>IFERROR(__xludf.DUMMYFUNCTION("""COMPUTED_VALUE"""),110.0)</f>
        <v>110</v>
      </c>
      <c r="Q156" s="9" t="str">
        <f>IFERROR(__xludf.DUMMYFUNCTION("""COMPUTED_VALUE"""),"Q3'22")</f>
        <v>Q3'22</v>
      </c>
      <c r="R156" s="9">
        <f>IFERROR(__xludf.DUMMYFUNCTION("""COMPUTED_VALUE"""),2.109078179899944)</f>
        <v>2.10907818</v>
      </c>
    </row>
    <row r="157" ht="14.25" customHeight="1">
      <c r="A157" s="3" t="s">
        <v>10</v>
      </c>
      <c r="B157" s="3" t="s">
        <v>32</v>
      </c>
      <c r="C157" s="3" t="s">
        <v>46</v>
      </c>
      <c r="D157" s="3" t="s">
        <v>34</v>
      </c>
      <c r="E157" s="3" t="s">
        <v>14</v>
      </c>
      <c r="F157" s="3">
        <v>110.0</v>
      </c>
      <c r="G157" s="4" t="s">
        <v>18</v>
      </c>
      <c r="H157" s="3">
        <v>2.1481872354476352</v>
      </c>
      <c r="K157" s="9" t="str">
        <f>IFERROR(__xludf.DUMMYFUNCTION("""COMPUTED_VALUE"""),"MT Urban")</f>
        <v>MT Urban</v>
      </c>
      <c r="L157" s="9" t="str">
        <f>IFERROR(__xludf.DUMMYFUNCTION("""COMPUTED_VALUE"""),"Farmy")</f>
        <v>Farmy</v>
      </c>
      <c r="M157" s="9" t="str">
        <f>IFERROR(__xludf.DUMMYFUNCTION("""COMPUTED_VALUE"""),"Pro Plus ")</f>
        <v>Pro Plus </v>
      </c>
      <c r="N157" s="9" t="str">
        <f>IFERROR(__xludf.DUMMYFUNCTION("""COMPUTED_VALUE"""),"Vanilla")</f>
        <v>Vanilla</v>
      </c>
      <c r="O157" s="9" t="str">
        <f>IFERROR(__xludf.DUMMYFUNCTION("""COMPUTED_VALUE"""),"Carton")</f>
        <v>Carton</v>
      </c>
      <c r="P157" s="9">
        <f>IFERROR(__xludf.DUMMYFUNCTION("""COMPUTED_VALUE"""),110.0)</f>
        <v>110</v>
      </c>
      <c r="Q157" s="9" t="str">
        <f>IFERROR(__xludf.DUMMYFUNCTION("""COMPUTED_VALUE"""),"Q4'22")</f>
        <v>Q4'22</v>
      </c>
      <c r="R157" s="9">
        <f>IFERROR(__xludf.DUMMYFUNCTION("""COMPUTED_VALUE"""),2.1481872354476352)</f>
        <v>2.148187235</v>
      </c>
    </row>
    <row r="158" ht="14.25" customHeight="1">
      <c r="A158" s="3" t="s">
        <v>10</v>
      </c>
      <c r="B158" s="3" t="s">
        <v>32</v>
      </c>
      <c r="C158" s="3" t="s">
        <v>46</v>
      </c>
      <c r="D158" s="3" t="s">
        <v>34</v>
      </c>
      <c r="E158" s="3" t="s">
        <v>14</v>
      </c>
      <c r="F158" s="3">
        <v>110.0</v>
      </c>
      <c r="G158" s="4" t="s">
        <v>19</v>
      </c>
      <c r="H158" s="3">
        <v>2.1914756068874945</v>
      </c>
      <c r="K158" s="9" t="str">
        <f>IFERROR(__xludf.DUMMYFUNCTION("""COMPUTED_VALUE"""),"MT Urban")</f>
        <v>MT Urban</v>
      </c>
      <c r="L158" s="9" t="str">
        <f>IFERROR(__xludf.DUMMYFUNCTION("""COMPUTED_VALUE"""),"Farmy")</f>
        <v>Farmy</v>
      </c>
      <c r="M158" s="9" t="str">
        <f>IFERROR(__xludf.DUMMYFUNCTION("""COMPUTED_VALUE"""),"Pro Plus ")</f>
        <v>Pro Plus </v>
      </c>
      <c r="N158" s="9" t="str">
        <f>IFERROR(__xludf.DUMMYFUNCTION("""COMPUTED_VALUE"""),"Vanilla")</f>
        <v>Vanilla</v>
      </c>
      <c r="O158" s="9" t="str">
        <f>IFERROR(__xludf.DUMMYFUNCTION("""COMPUTED_VALUE"""),"Carton")</f>
        <v>Carton</v>
      </c>
      <c r="P158" s="9">
        <f>IFERROR(__xludf.DUMMYFUNCTION("""COMPUTED_VALUE"""),110.0)</f>
        <v>110</v>
      </c>
      <c r="Q158" s="9" t="str">
        <f>IFERROR(__xludf.DUMMYFUNCTION("""COMPUTED_VALUE"""),"Q1'23")</f>
        <v>Q1'23</v>
      </c>
      <c r="R158" s="9">
        <f>IFERROR(__xludf.DUMMYFUNCTION("""COMPUTED_VALUE"""),2.1914756068874945)</f>
        <v>2.191475607</v>
      </c>
    </row>
    <row r="159" ht="14.25" customHeight="1">
      <c r="A159" s="3" t="s">
        <v>10</v>
      </c>
      <c r="B159" s="3" t="s">
        <v>32</v>
      </c>
      <c r="C159" s="3" t="s">
        <v>46</v>
      </c>
      <c r="D159" s="3" t="s">
        <v>34</v>
      </c>
      <c r="E159" s="3" t="s">
        <v>14</v>
      </c>
      <c r="F159" s="3">
        <v>110.0</v>
      </c>
      <c r="G159" s="4" t="s">
        <v>20</v>
      </c>
      <c r="H159" s="3">
        <v>2.3002662221513837</v>
      </c>
      <c r="K159" s="9" t="str">
        <f>IFERROR(__xludf.DUMMYFUNCTION("""COMPUTED_VALUE"""),"MT Urban")</f>
        <v>MT Urban</v>
      </c>
      <c r="L159" s="9" t="str">
        <f>IFERROR(__xludf.DUMMYFUNCTION("""COMPUTED_VALUE"""),"Farmy")</f>
        <v>Farmy</v>
      </c>
      <c r="M159" s="9" t="str">
        <f>IFERROR(__xludf.DUMMYFUNCTION("""COMPUTED_VALUE"""),"Pro Plus ")</f>
        <v>Pro Plus </v>
      </c>
      <c r="N159" s="9" t="str">
        <f>IFERROR(__xludf.DUMMYFUNCTION("""COMPUTED_VALUE"""),"Vanilla")</f>
        <v>Vanilla</v>
      </c>
      <c r="O159" s="9" t="str">
        <f>IFERROR(__xludf.DUMMYFUNCTION("""COMPUTED_VALUE"""),"Carton")</f>
        <v>Carton</v>
      </c>
      <c r="P159" s="9">
        <f>IFERROR(__xludf.DUMMYFUNCTION("""COMPUTED_VALUE"""),110.0)</f>
        <v>110</v>
      </c>
      <c r="Q159" s="9" t="str">
        <f>IFERROR(__xludf.DUMMYFUNCTION("""COMPUTED_VALUE"""),"Q2'23")</f>
        <v>Q2'23</v>
      </c>
      <c r="R159" s="9">
        <f>IFERROR(__xludf.DUMMYFUNCTION("""COMPUTED_VALUE"""),2.3002662221513837)</f>
        <v>2.300266222</v>
      </c>
    </row>
    <row r="160" ht="14.25" customHeight="1">
      <c r="A160" s="3" t="s">
        <v>10</v>
      </c>
      <c r="B160" s="3" t="s">
        <v>32</v>
      </c>
      <c r="C160" s="3" t="s">
        <v>46</v>
      </c>
      <c r="D160" s="3" t="s">
        <v>34</v>
      </c>
      <c r="E160" s="3" t="s">
        <v>14</v>
      </c>
      <c r="F160" s="3">
        <v>110.0</v>
      </c>
      <c r="G160" s="4" t="s">
        <v>21</v>
      </c>
      <c r="H160" s="3">
        <v>1.994960614023528</v>
      </c>
      <c r="K160" s="9" t="str">
        <f>IFERROR(__xludf.DUMMYFUNCTION("""COMPUTED_VALUE"""),"MT Urban")</f>
        <v>MT Urban</v>
      </c>
      <c r="L160" s="9" t="str">
        <f>IFERROR(__xludf.DUMMYFUNCTION("""COMPUTED_VALUE"""),"Farmy")</f>
        <v>Farmy</v>
      </c>
      <c r="M160" s="9" t="str">
        <f>IFERROR(__xludf.DUMMYFUNCTION("""COMPUTED_VALUE"""),"Pro Plus ")</f>
        <v>Pro Plus </v>
      </c>
      <c r="N160" s="9" t="str">
        <f>IFERROR(__xludf.DUMMYFUNCTION("""COMPUTED_VALUE"""),"Vanilla")</f>
        <v>Vanilla</v>
      </c>
      <c r="O160" s="9" t="str">
        <f>IFERROR(__xludf.DUMMYFUNCTION("""COMPUTED_VALUE"""),"Carton")</f>
        <v>Carton</v>
      </c>
      <c r="P160" s="9">
        <f>IFERROR(__xludf.DUMMYFUNCTION("""COMPUTED_VALUE"""),110.0)</f>
        <v>110</v>
      </c>
      <c r="Q160" s="9" t="str">
        <f>IFERROR(__xludf.DUMMYFUNCTION("""COMPUTED_VALUE"""),"Q3'23")</f>
        <v>Q3'23</v>
      </c>
      <c r="R160" s="9">
        <f>IFERROR(__xludf.DUMMYFUNCTION("""COMPUTED_VALUE"""),1.994960614023528)</f>
        <v>1.994960614</v>
      </c>
    </row>
    <row r="161" ht="14.25" customHeight="1">
      <c r="A161" s="3" t="s">
        <v>10</v>
      </c>
      <c r="B161" s="3" t="s">
        <v>32</v>
      </c>
      <c r="C161" s="3" t="s">
        <v>46</v>
      </c>
      <c r="D161" s="3" t="s">
        <v>34</v>
      </c>
      <c r="E161" s="3" t="s">
        <v>14</v>
      </c>
      <c r="F161" s="3">
        <v>110.0</v>
      </c>
      <c r="G161" s="4" t="s">
        <v>22</v>
      </c>
      <c r="H161" s="3">
        <v>2.1611595060936395</v>
      </c>
      <c r="K161" s="9" t="str">
        <f>IFERROR(__xludf.DUMMYFUNCTION("""COMPUTED_VALUE"""),"MT Urban")</f>
        <v>MT Urban</v>
      </c>
      <c r="L161" s="9" t="str">
        <f>IFERROR(__xludf.DUMMYFUNCTION("""COMPUTED_VALUE"""),"Farmy")</f>
        <v>Farmy</v>
      </c>
      <c r="M161" s="9" t="str">
        <f>IFERROR(__xludf.DUMMYFUNCTION("""COMPUTED_VALUE"""),"Pro Plus ")</f>
        <v>Pro Plus </v>
      </c>
      <c r="N161" s="9" t="str">
        <f>IFERROR(__xludf.DUMMYFUNCTION("""COMPUTED_VALUE"""),"Vanilla")</f>
        <v>Vanilla</v>
      </c>
      <c r="O161" s="9" t="str">
        <f>IFERROR(__xludf.DUMMYFUNCTION("""COMPUTED_VALUE"""),"Carton")</f>
        <v>Carton</v>
      </c>
      <c r="P161" s="9">
        <f>IFERROR(__xludf.DUMMYFUNCTION("""COMPUTED_VALUE"""),110.0)</f>
        <v>110</v>
      </c>
      <c r="Q161" s="9" t="str">
        <f>IFERROR(__xludf.DUMMYFUNCTION("""COMPUTED_VALUE"""),"Q4'23")</f>
        <v>Q4'23</v>
      </c>
      <c r="R161" s="9">
        <f>IFERROR(__xludf.DUMMYFUNCTION("""COMPUTED_VALUE"""),2.1611595060936395)</f>
        <v>2.161159506</v>
      </c>
    </row>
    <row r="162" ht="14.25" customHeight="1">
      <c r="A162" s="3" t="s">
        <v>10</v>
      </c>
      <c r="B162" s="3" t="s">
        <v>32</v>
      </c>
      <c r="C162" s="3" t="s">
        <v>46</v>
      </c>
      <c r="D162" s="3" t="s">
        <v>34</v>
      </c>
      <c r="E162" s="3" t="s">
        <v>14</v>
      </c>
      <c r="F162" s="3">
        <v>180.0</v>
      </c>
      <c r="G162" s="4" t="s">
        <v>15</v>
      </c>
      <c r="H162" s="3">
        <v>1.4156302778498004</v>
      </c>
      <c r="K162" s="9" t="str">
        <f>IFERROR(__xludf.DUMMYFUNCTION("""COMPUTED_VALUE"""),"MT Urban")</f>
        <v>MT Urban</v>
      </c>
      <c r="L162" s="9" t="str">
        <f>IFERROR(__xludf.DUMMYFUNCTION("""COMPUTED_VALUE"""),"Farmy")</f>
        <v>Farmy</v>
      </c>
      <c r="M162" s="9" t="str">
        <f>IFERROR(__xludf.DUMMYFUNCTION("""COMPUTED_VALUE"""),"Pro Plus ")</f>
        <v>Pro Plus </v>
      </c>
      <c r="N162" s="9" t="str">
        <f>IFERROR(__xludf.DUMMYFUNCTION("""COMPUTED_VALUE"""),"Vanilla")</f>
        <v>Vanilla</v>
      </c>
      <c r="O162" s="9" t="str">
        <f>IFERROR(__xludf.DUMMYFUNCTION("""COMPUTED_VALUE"""),"Carton")</f>
        <v>Carton</v>
      </c>
      <c r="P162" s="9">
        <f>IFERROR(__xludf.DUMMYFUNCTION("""COMPUTED_VALUE"""),180.0)</f>
        <v>180</v>
      </c>
      <c r="Q162" s="9" t="str">
        <f>IFERROR(__xludf.DUMMYFUNCTION("""COMPUTED_VALUE"""),"Q1'22")</f>
        <v>Q1'22</v>
      </c>
      <c r="R162" s="9">
        <f>IFERROR(__xludf.DUMMYFUNCTION("""COMPUTED_VALUE"""),1.4156302778498004)</f>
        <v>1.415630278</v>
      </c>
    </row>
    <row r="163" ht="14.25" customHeight="1">
      <c r="A163" s="3" t="s">
        <v>10</v>
      </c>
      <c r="B163" s="3" t="s">
        <v>32</v>
      </c>
      <c r="C163" s="3" t="s">
        <v>46</v>
      </c>
      <c r="D163" s="3" t="s">
        <v>34</v>
      </c>
      <c r="E163" s="3" t="s">
        <v>14</v>
      </c>
      <c r="F163" s="3">
        <v>180.0</v>
      </c>
      <c r="G163" s="4" t="s">
        <v>16</v>
      </c>
      <c r="H163" s="3">
        <v>1.4922661314788843</v>
      </c>
      <c r="K163" s="9" t="str">
        <f>IFERROR(__xludf.DUMMYFUNCTION("""COMPUTED_VALUE"""),"MT Urban")</f>
        <v>MT Urban</v>
      </c>
      <c r="L163" s="9" t="str">
        <f>IFERROR(__xludf.DUMMYFUNCTION("""COMPUTED_VALUE"""),"Farmy")</f>
        <v>Farmy</v>
      </c>
      <c r="M163" s="9" t="str">
        <f>IFERROR(__xludf.DUMMYFUNCTION("""COMPUTED_VALUE"""),"Pro Plus ")</f>
        <v>Pro Plus </v>
      </c>
      <c r="N163" s="9" t="str">
        <f>IFERROR(__xludf.DUMMYFUNCTION("""COMPUTED_VALUE"""),"Vanilla")</f>
        <v>Vanilla</v>
      </c>
      <c r="O163" s="9" t="str">
        <f>IFERROR(__xludf.DUMMYFUNCTION("""COMPUTED_VALUE"""),"Carton")</f>
        <v>Carton</v>
      </c>
      <c r="P163" s="9">
        <f>IFERROR(__xludf.DUMMYFUNCTION("""COMPUTED_VALUE"""),180.0)</f>
        <v>180</v>
      </c>
      <c r="Q163" s="9" t="str">
        <f>IFERROR(__xludf.DUMMYFUNCTION("""COMPUTED_VALUE"""),"Q2'22")</f>
        <v>Q2'22</v>
      </c>
      <c r="R163" s="9">
        <f>IFERROR(__xludf.DUMMYFUNCTION("""COMPUTED_VALUE"""),1.4922661314788843)</f>
        <v>1.492266131</v>
      </c>
    </row>
    <row r="164" ht="14.25" customHeight="1">
      <c r="A164" s="3" t="s">
        <v>10</v>
      </c>
      <c r="B164" s="3" t="s">
        <v>32</v>
      </c>
      <c r="C164" s="3" t="s">
        <v>46</v>
      </c>
      <c r="D164" s="3" t="s">
        <v>34</v>
      </c>
      <c r="E164" s="3" t="s">
        <v>14</v>
      </c>
      <c r="F164" s="3">
        <v>180.0</v>
      </c>
      <c r="G164" s="4" t="s">
        <v>17</v>
      </c>
      <c r="H164" s="3">
        <v>1.6198615290512581</v>
      </c>
      <c r="K164" s="9" t="str">
        <f>IFERROR(__xludf.DUMMYFUNCTION("""COMPUTED_VALUE"""),"MT Urban")</f>
        <v>MT Urban</v>
      </c>
      <c r="L164" s="9" t="str">
        <f>IFERROR(__xludf.DUMMYFUNCTION("""COMPUTED_VALUE"""),"Farmy")</f>
        <v>Farmy</v>
      </c>
      <c r="M164" s="9" t="str">
        <f>IFERROR(__xludf.DUMMYFUNCTION("""COMPUTED_VALUE"""),"Pro Plus ")</f>
        <v>Pro Plus </v>
      </c>
      <c r="N164" s="9" t="str">
        <f>IFERROR(__xludf.DUMMYFUNCTION("""COMPUTED_VALUE"""),"Vanilla")</f>
        <v>Vanilla</v>
      </c>
      <c r="O164" s="9" t="str">
        <f>IFERROR(__xludf.DUMMYFUNCTION("""COMPUTED_VALUE"""),"Carton")</f>
        <v>Carton</v>
      </c>
      <c r="P164" s="9">
        <f>IFERROR(__xludf.DUMMYFUNCTION("""COMPUTED_VALUE"""),180.0)</f>
        <v>180</v>
      </c>
      <c r="Q164" s="9" t="str">
        <f>IFERROR(__xludf.DUMMYFUNCTION("""COMPUTED_VALUE"""),"Q3'22")</f>
        <v>Q3'22</v>
      </c>
      <c r="R164" s="9">
        <f>IFERROR(__xludf.DUMMYFUNCTION("""COMPUTED_VALUE"""),1.6198615290512581)</f>
        <v>1.619861529</v>
      </c>
    </row>
    <row r="165" ht="14.25" customHeight="1">
      <c r="A165" s="3" t="s">
        <v>10</v>
      </c>
      <c r="B165" s="3" t="s">
        <v>32</v>
      </c>
      <c r="C165" s="3" t="s">
        <v>46</v>
      </c>
      <c r="D165" s="3" t="s">
        <v>34</v>
      </c>
      <c r="E165" s="3" t="s">
        <v>14</v>
      </c>
      <c r="F165" s="3">
        <v>180.0</v>
      </c>
      <c r="G165" s="4" t="s">
        <v>18</v>
      </c>
      <c r="H165" s="3">
        <v>1.820187676978132</v>
      </c>
      <c r="K165" s="9" t="str">
        <f>IFERROR(__xludf.DUMMYFUNCTION("""COMPUTED_VALUE"""),"MT Urban")</f>
        <v>MT Urban</v>
      </c>
      <c r="L165" s="9" t="str">
        <f>IFERROR(__xludf.DUMMYFUNCTION("""COMPUTED_VALUE"""),"Farmy")</f>
        <v>Farmy</v>
      </c>
      <c r="M165" s="9" t="str">
        <f>IFERROR(__xludf.DUMMYFUNCTION("""COMPUTED_VALUE"""),"Pro Plus ")</f>
        <v>Pro Plus </v>
      </c>
      <c r="N165" s="9" t="str">
        <f>IFERROR(__xludf.DUMMYFUNCTION("""COMPUTED_VALUE"""),"Vanilla")</f>
        <v>Vanilla</v>
      </c>
      <c r="O165" s="9" t="str">
        <f>IFERROR(__xludf.DUMMYFUNCTION("""COMPUTED_VALUE"""),"Carton")</f>
        <v>Carton</v>
      </c>
      <c r="P165" s="9">
        <f>IFERROR(__xludf.DUMMYFUNCTION("""COMPUTED_VALUE"""),180.0)</f>
        <v>180</v>
      </c>
      <c r="Q165" s="9" t="str">
        <f>IFERROR(__xludf.DUMMYFUNCTION("""COMPUTED_VALUE"""),"Q4'22")</f>
        <v>Q4'22</v>
      </c>
      <c r="R165" s="9">
        <f>IFERROR(__xludf.DUMMYFUNCTION("""COMPUTED_VALUE"""),1.820187676978132)</f>
        <v>1.820187677</v>
      </c>
    </row>
    <row r="166" ht="14.25" customHeight="1">
      <c r="A166" s="3" t="s">
        <v>10</v>
      </c>
      <c r="B166" s="3" t="s">
        <v>32</v>
      </c>
      <c r="C166" s="3" t="s">
        <v>46</v>
      </c>
      <c r="D166" s="3" t="s">
        <v>34</v>
      </c>
      <c r="E166" s="3" t="s">
        <v>14</v>
      </c>
      <c r="F166" s="3">
        <v>180.0</v>
      </c>
      <c r="G166" s="4" t="s">
        <v>19</v>
      </c>
      <c r="H166" s="3">
        <v>1.9282681370550934</v>
      </c>
      <c r="K166" s="9" t="str">
        <f>IFERROR(__xludf.DUMMYFUNCTION("""COMPUTED_VALUE"""),"MT Urban")</f>
        <v>MT Urban</v>
      </c>
      <c r="L166" s="9" t="str">
        <f>IFERROR(__xludf.DUMMYFUNCTION("""COMPUTED_VALUE"""),"Farmy")</f>
        <v>Farmy</v>
      </c>
      <c r="M166" s="9" t="str">
        <f>IFERROR(__xludf.DUMMYFUNCTION("""COMPUTED_VALUE"""),"Pro Plus ")</f>
        <v>Pro Plus </v>
      </c>
      <c r="N166" s="9" t="str">
        <f>IFERROR(__xludf.DUMMYFUNCTION("""COMPUTED_VALUE"""),"Vanilla")</f>
        <v>Vanilla</v>
      </c>
      <c r="O166" s="9" t="str">
        <f>IFERROR(__xludf.DUMMYFUNCTION("""COMPUTED_VALUE"""),"Carton")</f>
        <v>Carton</v>
      </c>
      <c r="P166" s="9">
        <f>IFERROR(__xludf.DUMMYFUNCTION("""COMPUTED_VALUE"""),180.0)</f>
        <v>180</v>
      </c>
      <c r="Q166" s="9" t="str">
        <f>IFERROR(__xludf.DUMMYFUNCTION("""COMPUTED_VALUE"""),"Q1'23")</f>
        <v>Q1'23</v>
      </c>
      <c r="R166" s="9">
        <f>IFERROR(__xludf.DUMMYFUNCTION("""COMPUTED_VALUE"""),1.9282681370550934)</f>
        <v>1.928268137</v>
      </c>
    </row>
    <row r="167" ht="14.25" customHeight="1">
      <c r="A167" s="3" t="s">
        <v>10</v>
      </c>
      <c r="B167" s="3" t="s">
        <v>32</v>
      </c>
      <c r="C167" s="3" t="s">
        <v>46</v>
      </c>
      <c r="D167" s="3" t="s">
        <v>34</v>
      </c>
      <c r="E167" s="3" t="s">
        <v>14</v>
      </c>
      <c r="F167" s="3">
        <v>180.0</v>
      </c>
      <c r="G167" s="4" t="s">
        <v>20</v>
      </c>
      <c r="H167" s="3">
        <v>1.918185132937136</v>
      </c>
      <c r="K167" s="9" t="str">
        <f>IFERROR(__xludf.DUMMYFUNCTION("""COMPUTED_VALUE"""),"MT Urban")</f>
        <v>MT Urban</v>
      </c>
      <c r="L167" s="9" t="str">
        <f>IFERROR(__xludf.DUMMYFUNCTION("""COMPUTED_VALUE"""),"Farmy")</f>
        <v>Farmy</v>
      </c>
      <c r="M167" s="9" t="str">
        <f>IFERROR(__xludf.DUMMYFUNCTION("""COMPUTED_VALUE"""),"Pro Plus ")</f>
        <v>Pro Plus </v>
      </c>
      <c r="N167" s="9" t="str">
        <f>IFERROR(__xludf.DUMMYFUNCTION("""COMPUTED_VALUE"""),"Vanilla")</f>
        <v>Vanilla</v>
      </c>
      <c r="O167" s="9" t="str">
        <f>IFERROR(__xludf.DUMMYFUNCTION("""COMPUTED_VALUE"""),"Carton")</f>
        <v>Carton</v>
      </c>
      <c r="P167" s="9">
        <f>IFERROR(__xludf.DUMMYFUNCTION("""COMPUTED_VALUE"""),180.0)</f>
        <v>180</v>
      </c>
      <c r="Q167" s="9" t="str">
        <f>IFERROR(__xludf.DUMMYFUNCTION("""COMPUTED_VALUE"""),"Q2'23")</f>
        <v>Q2'23</v>
      </c>
      <c r="R167" s="9">
        <f>IFERROR(__xludf.DUMMYFUNCTION("""COMPUTED_VALUE"""),1.918185132937136)</f>
        <v>1.918185133</v>
      </c>
    </row>
    <row r="168" ht="14.25" customHeight="1">
      <c r="A168" s="3" t="s">
        <v>10</v>
      </c>
      <c r="B168" s="3" t="s">
        <v>32</v>
      </c>
      <c r="C168" s="3" t="s">
        <v>46</v>
      </c>
      <c r="D168" s="3" t="s">
        <v>34</v>
      </c>
      <c r="E168" s="3" t="s">
        <v>14</v>
      </c>
      <c r="F168" s="3">
        <v>180.0</v>
      </c>
      <c r="G168" s="4" t="s">
        <v>21</v>
      </c>
      <c r="H168" s="3">
        <v>2.0781225126099083</v>
      </c>
      <c r="K168" s="9" t="str">
        <f>IFERROR(__xludf.DUMMYFUNCTION("""COMPUTED_VALUE"""),"MT Urban")</f>
        <v>MT Urban</v>
      </c>
      <c r="L168" s="9" t="str">
        <f>IFERROR(__xludf.DUMMYFUNCTION("""COMPUTED_VALUE"""),"Farmy")</f>
        <v>Farmy</v>
      </c>
      <c r="M168" s="9" t="str">
        <f>IFERROR(__xludf.DUMMYFUNCTION("""COMPUTED_VALUE"""),"Pro Plus ")</f>
        <v>Pro Plus </v>
      </c>
      <c r="N168" s="9" t="str">
        <f>IFERROR(__xludf.DUMMYFUNCTION("""COMPUTED_VALUE"""),"Vanilla")</f>
        <v>Vanilla</v>
      </c>
      <c r="O168" s="9" t="str">
        <f>IFERROR(__xludf.DUMMYFUNCTION("""COMPUTED_VALUE"""),"Carton")</f>
        <v>Carton</v>
      </c>
      <c r="P168" s="9">
        <f>IFERROR(__xludf.DUMMYFUNCTION("""COMPUTED_VALUE"""),180.0)</f>
        <v>180</v>
      </c>
      <c r="Q168" s="9" t="str">
        <f>IFERROR(__xludf.DUMMYFUNCTION("""COMPUTED_VALUE"""),"Q3'23")</f>
        <v>Q3'23</v>
      </c>
      <c r="R168" s="9">
        <f>IFERROR(__xludf.DUMMYFUNCTION("""COMPUTED_VALUE"""),2.0781225126099083)</f>
        <v>2.078122513</v>
      </c>
    </row>
    <row r="169" ht="14.25" customHeight="1">
      <c r="A169" s="3" t="s">
        <v>10</v>
      </c>
      <c r="B169" s="3" t="s">
        <v>32</v>
      </c>
      <c r="C169" s="3" t="s">
        <v>46</v>
      </c>
      <c r="D169" s="3" t="s">
        <v>34</v>
      </c>
      <c r="E169" s="3" t="s">
        <v>14</v>
      </c>
      <c r="F169" s="3">
        <v>180.0</v>
      </c>
      <c r="G169" s="4" t="s">
        <v>22</v>
      </c>
      <c r="H169" s="3">
        <v>2.0149568121070605</v>
      </c>
      <c r="K169" s="9" t="str">
        <f>IFERROR(__xludf.DUMMYFUNCTION("""COMPUTED_VALUE"""),"MT Urban")</f>
        <v>MT Urban</v>
      </c>
      <c r="L169" s="9" t="str">
        <f>IFERROR(__xludf.DUMMYFUNCTION("""COMPUTED_VALUE"""),"Farmy")</f>
        <v>Farmy</v>
      </c>
      <c r="M169" s="9" t="str">
        <f>IFERROR(__xludf.DUMMYFUNCTION("""COMPUTED_VALUE"""),"Pro Plus ")</f>
        <v>Pro Plus </v>
      </c>
      <c r="N169" s="9" t="str">
        <f>IFERROR(__xludf.DUMMYFUNCTION("""COMPUTED_VALUE"""),"Vanilla")</f>
        <v>Vanilla</v>
      </c>
      <c r="O169" s="9" t="str">
        <f>IFERROR(__xludf.DUMMYFUNCTION("""COMPUTED_VALUE"""),"Carton")</f>
        <v>Carton</v>
      </c>
      <c r="P169" s="9">
        <f>IFERROR(__xludf.DUMMYFUNCTION("""COMPUTED_VALUE"""),180.0)</f>
        <v>180</v>
      </c>
      <c r="Q169" s="9" t="str">
        <f>IFERROR(__xludf.DUMMYFUNCTION("""COMPUTED_VALUE"""),"Q4'23")</f>
        <v>Q4'23</v>
      </c>
      <c r="R169" s="9">
        <f>IFERROR(__xludf.DUMMYFUNCTION("""COMPUTED_VALUE"""),2.0149568121070605)</f>
        <v>2.014956812</v>
      </c>
    </row>
    <row r="170" ht="14.25" customHeight="1">
      <c r="A170" s="3" t="s">
        <v>10</v>
      </c>
      <c r="B170" s="3" t="s">
        <v>32</v>
      </c>
      <c r="C170" s="3" t="s">
        <v>35</v>
      </c>
      <c r="D170" s="3" t="s">
        <v>30</v>
      </c>
      <c r="E170" s="3" t="s">
        <v>29</v>
      </c>
      <c r="F170" s="3">
        <v>220.0</v>
      </c>
      <c r="G170" s="4" t="s">
        <v>15</v>
      </c>
      <c r="H170" s="3">
        <v>1.8589290871433275</v>
      </c>
      <c r="K170" s="9" t="str">
        <f>IFERROR(__xludf.DUMMYFUNCTION("""COMPUTED_VALUE"""),"MT Urban")</f>
        <v>MT Urban</v>
      </c>
      <c r="L170" s="9" t="str">
        <f>IFERROR(__xludf.DUMMYFUNCTION("""COMPUTED_VALUE"""),"Farmy")</f>
        <v>Farmy</v>
      </c>
      <c r="M170" s="9" t="str">
        <f>IFERROR(__xludf.DUMMYFUNCTION("""COMPUTED_VALUE"""),"Pro 100% Fresh")</f>
        <v>Pro 100% Fresh</v>
      </c>
      <c r="N170" s="9" t="str">
        <f>IFERROR(__xludf.DUMMYFUNCTION("""COMPUTED_VALUE"""),"Plain")</f>
        <v>Plain</v>
      </c>
      <c r="O170" s="9" t="str">
        <f>IFERROR(__xludf.DUMMYFUNCTION("""COMPUTED_VALUE"""),"TFA")</f>
        <v>TFA</v>
      </c>
      <c r="P170" s="9">
        <f>IFERROR(__xludf.DUMMYFUNCTION("""COMPUTED_VALUE"""),220.0)</f>
        <v>220</v>
      </c>
      <c r="Q170" s="9" t="str">
        <f>IFERROR(__xludf.DUMMYFUNCTION("""COMPUTED_VALUE"""),"Q1'22")</f>
        <v>Q1'22</v>
      </c>
      <c r="R170" s="9">
        <f>IFERROR(__xludf.DUMMYFUNCTION("""COMPUTED_VALUE"""),1.8589290871433275)</f>
        <v>1.858929087</v>
      </c>
    </row>
    <row r="171" ht="14.25" customHeight="1">
      <c r="A171" s="3" t="s">
        <v>10</v>
      </c>
      <c r="B171" s="3" t="s">
        <v>32</v>
      </c>
      <c r="C171" s="3" t="s">
        <v>35</v>
      </c>
      <c r="D171" s="3" t="s">
        <v>30</v>
      </c>
      <c r="E171" s="3" t="s">
        <v>29</v>
      </c>
      <c r="F171" s="3">
        <v>220.0</v>
      </c>
      <c r="G171" s="4" t="s">
        <v>16</v>
      </c>
      <c r="H171" s="3">
        <v>1.4903401148439162</v>
      </c>
      <c r="K171" s="9" t="str">
        <f>IFERROR(__xludf.DUMMYFUNCTION("""COMPUTED_VALUE"""),"MT Urban")</f>
        <v>MT Urban</v>
      </c>
      <c r="L171" s="9" t="str">
        <f>IFERROR(__xludf.DUMMYFUNCTION("""COMPUTED_VALUE"""),"Farmy")</f>
        <v>Farmy</v>
      </c>
      <c r="M171" s="9" t="str">
        <f>IFERROR(__xludf.DUMMYFUNCTION("""COMPUTED_VALUE"""),"Pro 100% Fresh")</f>
        <v>Pro 100% Fresh</v>
      </c>
      <c r="N171" s="9" t="str">
        <f>IFERROR(__xludf.DUMMYFUNCTION("""COMPUTED_VALUE"""),"Plain")</f>
        <v>Plain</v>
      </c>
      <c r="O171" s="9" t="str">
        <f>IFERROR(__xludf.DUMMYFUNCTION("""COMPUTED_VALUE"""),"TFA")</f>
        <v>TFA</v>
      </c>
      <c r="P171" s="9">
        <f>IFERROR(__xludf.DUMMYFUNCTION("""COMPUTED_VALUE"""),220.0)</f>
        <v>220</v>
      </c>
      <c r="Q171" s="9" t="str">
        <f>IFERROR(__xludf.DUMMYFUNCTION("""COMPUTED_VALUE"""),"Q2'22")</f>
        <v>Q2'22</v>
      </c>
      <c r="R171" s="9">
        <f>IFERROR(__xludf.DUMMYFUNCTION("""COMPUTED_VALUE"""),1.4903401148439162)</f>
        <v>1.490340115</v>
      </c>
    </row>
    <row r="172" ht="14.25" customHeight="1">
      <c r="A172" s="3" t="s">
        <v>10</v>
      </c>
      <c r="B172" s="3" t="s">
        <v>32</v>
      </c>
      <c r="C172" s="3" t="s">
        <v>35</v>
      </c>
      <c r="D172" s="3" t="s">
        <v>30</v>
      </c>
      <c r="E172" s="3" t="s">
        <v>29</v>
      </c>
      <c r="F172" s="3">
        <v>220.0</v>
      </c>
      <c r="G172" s="4" t="s">
        <v>17</v>
      </c>
      <c r="H172" s="3">
        <v>1.6321319975490325</v>
      </c>
      <c r="K172" s="9" t="str">
        <f>IFERROR(__xludf.DUMMYFUNCTION("""COMPUTED_VALUE"""),"MT Urban")</f>
        <v>MT Urban</v>
      </c>
      <c r="L172" s="9" t="str">
        <f>IFERROR(__xludf.DUMMYFUNCTION("""COMPUTED_VALUE"""),"Farmy")</f>
        <v>Farmy</v>
      </c>
      <c r="M172" s="9" t="str">
        <f>IFERROR(__xludf.DUMMYFUNCTION("""COMPUTED_VALUE"""),"Pro 100% Fresh")</f>
        <v>Pro 100% Fresh</v>
      </c>
      <c r="N172" s="9" t="str">
        <f>IFERROR(__xludf.DUMMYFUNCTION("""COMPUTED_VALUE"""),"Plain")</f>
        <v>Plain</v>
      </c>
      <c r="O172" s="9" t="str">
        <f>IFERROR(__xludf.DUMMYFUNCTION("""COMPUTED_VALUE"""),"TFA")</f>
        <v>TFA</v>
      </c>
      <c r="P172" s="9">
        <f>IFERROR(__xludf.DUMMYFUNCTION("""COMPUTED_VALUE"""),220.0)</f>
        <v>220</v>
      </c>
      <c r="Q172" s="9" t="str">
        <f>IFERROR(__xludf.DUMMYFUNCTION("""COMPUTED_VALUE"""),"Q3'22")</f>
        <v>Q3'22</v>
      </c>
      <c r="R172" s="9">
        <f>IFERROR(__xludf.DUMMYFUNCTION("""COMPUTED_VALUE"""),1.6321319975490325)</f>
        <v>1.632131998</v>
      </c>
    </row>
    <row r="173" ht="14.25" customHeight="1">
      <c r="A173" s="3" t="s">
        <v>10</v>
      </c>
      <c r="B173" s="3" t="s">
        <v>32</v>
      </c>
      <c r="C173" s="3" t="s">
        <v>35</v>
      </c>
      <c r="D173" s="3" t="s">
        <v>30</v>
      </c>
      <c r="E173" s="3" t="s">
        <v>29</v>
      </c>
      <c r="F173" s="3">
        <v>220.0</v>
      </c>
      <c r="G173" s="4" t="s">
        <v>18</v>
      </c>
      <c r="H173" s="3">
        <v>1.2532206805983162</v>
      </c>
      <c r="K173" s="9" t="str">
        <f>IFERROR(__xludf.DUMMYFUNCTION("""COMPUTED_VALUE"""),"MT Urban")</f>
        <v>MT Urban</v>
      </c>
      <c r="L173" s="9" t="str">
        <f>IFERROR(__xludf.DUMMYFUNCTION("""COMPUTED_VALUE"""),"Farmy")</f>
        <v>Farmy</v>
      </c>
      <c r="M173" s="9" t="str">
        <f>IFERROR(__xludf.DUMMYFUNCTION("""COMPUTED_VALUE"""),"Pro 100% Fresh")</f>
        <v>Pro 100% Fresh</v>
      </c>
      <c r="N173" s="9" t="str">
        <f>IFERROR(__xludf.DUMMYFUNCTION("""COMPUTED_VALUE"""),"Plain")</f>
        <v>Plain</v>
      </c>
      <c r="O173" s="9" t="str">
        <f>IFERROR(__xludf.DUMMYFUNCTION("""COMPUTED_VALUE"""),"TFA")</f>
        <v>TFA</v>
      </c>
      <c r="P173" s="9">
        <f>IFERROR(__xludf.DUMMYFUNCTION("""COMPUTED_VALUE"""),220.0)</f>
        <v>220</v>
      </c>
      <c r="Q173" s="9" t="str">
        <f>IFERROR(__xludf.DUMMYFUNCTION("""COMPUTED_VALUE"""),"Q4'22")</f>
        <v>Q4'22</v>
      </c>
      <c r="R173" s="9">
        <f>IFERROR(__xludf.DUMMYFUNCTION("""COMPUTED_VALUE"""),1.2532206805983162)</f>
        <v>1.253220681</v>
      </c>
    </row>
    <row r="174" ht="14.25" customHeight="1">
      <c r="A174" s="3" t="s">
        <v>10</v>
      </c>
      <c r="B174" s="3" t="s">
        <v>32</v>
      </c>
      <c r="C174" s="3" t="s">
        <v>35</v>
      </c>
      <c r="D174" s="3" t="s">
        <v>30</v>
      </c>
      <c r="E174" s="3" t="s">
        <v>29</v>
      </c>
      <c r="F174" s="3">
        <v>220.0</v>
      </c>
      <c r="G174" s="4" t="s">
        <v>19</v>
      </c>
      <c r="H174" s="3">
        <v>1.5532898330022</v>
      </c>
      <c r="K174" s="9" t="str">
        <f>IFERROR(__xludf.DUMMYFUNCTION("""COMPUTED_VALUE"""),"MT Urban")</f>
        <v>MT Urban</v>
      </c>
      <c r="L174" s="9" t="str">
        <f>IFERROR(__xludf.DUMMYFUNCTION("""COMPUTED_VALUE"""),"Farmy")</f>
        <v>Farmy</v>
      </c>
      <c r="M174" s="9" t="str">
        <f>IFERROR(__xludf.DUMMYFUNCTION("""COMPUTED_VALUE"""),"Pro 100% Fresh")</f>
        <v>Pro 100% Fresh</v>
      </c>
      <c r="N174" s="9" t="str">
        <f>IFERROR(__xludf.DUMMYFUNCTION("""COMPUTED_VALUE"""),"Plain")</f>
        <v>Plain</v>
      </c>
      <c r="O174" s="9" t="str">
        <f>IFERROR(__xludf.DUMMYFUNCTION("""COMPUTED_VALUE"""),"TFA")</f>
        <v>TFA</v>
      </c>
      <c r="P174" s="9">
        <f>IFERROR(__xludf.DUMMYFUNCTION("""COMPUTED_VALUE"""),220.0)</f>
        <v>220</v>
      </c>
      <c r="Q174" s="9" t="str">
        <f>IFERROR(__xludf.DUMMYFUNCTION("""COMPUTED_VALUE"""),"Q1'23")</f>
        <v>Q1'23</v>
      </c>
      <c r="R174" s="9">
        <f>IFERROR(__xludf.DUMMYFUNCTION("""COMPUTED_VALUE"""),1.5532898330022)</f>
        <v>1.553289833</v>
      </c>
    </row>
    <row r="175" ht="14.25" customHeight="1">
      <c r="A175" s="3" t="s">
        <v>10</v>
      </c>
      <c r="B175" s="3" t="s">
        <v>32</v>
      </c>
      <c r="C175" s="3" t="s">
        <v>35</v>
      </c>
      <c r="D175" s="3" t="s">
        <v>30</v>
      </c>
      <c r="E175" s="3" t="s">
        <v>29</v>
      </c>
      <c r="F175" s="3">
        <v>220.0</v>
      </c>
      <c r="G175" s="4" t="s">
        <v>20</v>
      </c>
      <c r="H175" s="3">
        <v>1.4166212731985774</v>
      </c>
      <c r="K175" s="9" t="str">
        <f>IFERROR(__xludf.DUMMYFUNCTION("""COMPUTED_VALUE"""),"MT Urban")</f>
        <v>MT Urban</v>
      </c>
      <c r="L175" s="9" t="str">
        <f>IFERROR(__xludf.DUMMYFUNCTION("""COMPUTED_VALUE"""),"Farmy")</f>
        <v>Farmy</v>
      </c>
      <c r="M175" s="9" t="str">
        <f>IFERROR(__xludf.DUMMYFUNCTION("""COMPUTED_VALUE"""),"Pro 100% Fresh")</f>
        <v>Pro 100% Fresh</v>
      </c>
      <c r="N175" s="9" t="str">
        <f>IFERROR(__xludf.DUMMYFUNCTION("""COMPUTED_VALUE"""),"Plain")</f>
        <v>Plain</v>
      </c>
      <c r="O175" s="9" t="str">
        <f>IFERROR(__xludf.DUMMYFUNCTION("""COMPUTED_VALUE"""),"TFA")</f>
        <v>TFA</v>
      </c>
      <c r="P175" s="9">
        <f>IFERROR(__xludf.DUMMYFUNCTION("""COMPUTED_VALUE"""),220.0)</f>
        <v>220</v>
      </c>
      <c r="Q175" s="9" t="str">
        <f>IFERROR(__xludf.DUMMYFUNCTION("""COMPUTED_VALUE"""),"Q2'23")</f>
        <v>Q2'23</v>
      </c>
      <c r="R175" s="9">
        <f>IFERROR(__xludf.DUMMYFUNCTION("""COMPUTED_VALUE"""),1.4166212731985774)</f>
        <v>1.416621273</v>
      </c>
    </row>
    <row r="176" ht="14.25" customHeight="1">
      <c r="A176" s="3" t="s">
        <v>10</v>
      </c>
      <c r="B176" s="3" t="s">
        <v>32</v>
      </c>
      <c r="C176" s="3" t="s">
        <v>35</v>
      </c>
      <c r="D176" s="3" t="s">
        <v>30</v>
      </c>
      <c r="E176" s="3" t="s">
        <v>29</v>
      </c>
      <c r="F176" s="3">
        <v>220.0</v>
      </c>
      <c r="G176" s="4" t="s">
        <v>21</v>
      </c>
      <c r="H176" s="3">
        <v>1.6062890896663333</v>
      </c>
      <c r="K176" s="9" t="str">
        <f>IFERROR(__xludf.DUMMYFUNCTION("""COMPUTED_VALUE"""),"MT Urban")</f>
        <v>MT Urban</v>
      </c>
      <c r="L176" s="9" t="str">
        <f>IFERROR(__xludf.DUMMYFUNCTION("""COMPUTED_VALUE"""),"Farmy")</f>
        <v>Farmy</v>
      </c>
      <c r="M176" s="9" t="str">
        <f>IFERROR(__xludf.DUMMYFUNCTION("""COMPUTED_VALUE"""),"Pro 100% Fresh")</f>
        <v>Pro 100% Fresh</v>
      </c>
      <c r="N176" s="9" t="str">
        <f>IFERROR(__xludf.DUMMYFUNCTION("""COMPUTED_VALUE"""),"Plain")</f>
        <v>Plain</v>
      </c>
      <c r="O176" s="9" t="str">
        <f>IFERROR(__xludf.DUMMYFUNCTION("""COMPUTED_VALUE"""),"TFA")</f>
        <v>TFA</v>
      </c>
      <c r="P176" s="9">
        <f>IFERROR(__xludf.DUMMYFUNCTION("""COMPUTED_VALUE"""),220.0)</f>
        <v>220</v>
      </c>
      <c r="Q176" s="9" t="str">
        <f>IFERROR(__xludf.DUMMYFUNCTION("""COMPUTED_VALUE"""),"Q3'23")</f>
        <v>Q3'23</v>
      </c>
      <c r="R176" s="9">
        <f>IFERROR(__xludf.DUMMYFUNCTION("""COMPUTED_VALUE"""),1.6062890896663333)</f>
        <v>1.60628909</v>
      </c>
    </row>
    <row r="177" ht="14.25" customHeight="1">
      <c r="A177" s="3" t="s">
        <v>10</v>
      </c>
      <c r="B177" s="3" t="s">
        <v>32</v>
      </c>
      <c r="C177" s="3" t="s">
        <v>35</v>
      </c>
      <c r="D177" s="3" t="s">
        <v>30</v>
      </c>
      <c r="E177" s="3" t="s">
        <v>29</v>
      </c>
      <c r="F177" s="3">
        <v>220.0</v>
      </c>
      <c r="G177" s="4" t="s">
        <v>22</v>
      </c>
      <c r="H177" s="3">
        <v>1.661600715094325</v>
      </c>
      <c r="K177" s="9" t="str">
        <f>IFERROR(__xludf.DUMMYFUNCTION("""COMPUTED_VALUE"""),"MT Urban")</f>
        <v>MT Urban</v>
      </c>
      <c r="L177" s="9" t="str">
        <f>IFERROR(__xludf.DUMMYFUNCTION("""COMPUTED_VALUE"""),"Farmy")</f>
        <v>Farmy</v>
      </c>
      <c r="M177" s="9" t="str">
        <f>IFERROR(__xludf.DUMMYFUNCTION("""COMPUTED_VALUE"""),"Pro 100% Fresh")</f>
        <v>Pro 100% Fresh</v>
      </c>
      <c r="N177" s="9" t="str">
        <f>IFERROR(__xludf.DUMMYFUNCTION("""COMPUTED_VALUE"""),"Plain")</f>
        <v>Plain</v>
      </c>
      <c r="O177" s="9" t="str">
        <f>IFERROR(__xludf.DUMMYFUNCTION("""COMPUTED_VALUE"""),"TFA")</f>
        <v>TFA</v>
      </c>
      <c r="P177" s="9">
        <f>IFERROR(__xludf.DUMMYFUNCTION("""COMPUTED_VALUE"""),220.0)</f>
        <v>220</v>
      </c>
      <c r="Q177" s="9" t="str">
        <f>IFERROR(__xludf.DUMMYFUNCTION("""COMPUTED_VALUE"""),"Q4'23")</f>
        <v>Q4'23</v>
      </c>
      <c r="R177" s="9">
        <f>IFERROR(__xludf.DUMMYFUNCTION("""COMPUTED_VALUE"""),1.661600715094325)</f>
        <v>1.661600715</v>
      </c>
    </row>
    <row r="178" ht="14.25" customHeight="1">
      <c r="A178" s="3" t="s">
        <v>10</v>
      </c>
      <c r="B178" s="3" t="s">
        <v>41</v>
      </c>
      <c r="C178" s="3" t="s">
        <v>42</v>
      </c>
      <c r="D178" s="3" t="s">
        <v>37</v>
      </c>
      <c r="E178" s="3" t="s">
        <v>43</v>
      </c>
      <c r="F178" s="3">
        <v>237.0</v>
      </c>
      <c r="G178" s="4" t="s">
        <v>15</v>
      </c>
      <c r="H178" s="3">
        <v>2.031524666705944</v>
      </c>
      <c r="K178" s="9" t="str">
        <f>IFERROR(__xludf.DUMMYFUNCTION("""COMPUTED_VALUE"""),"MT Urban")</f>
        <v>MT Urban</v>
      </c>
      <c r="L178" s="9" t="str">
        <f>IFERROR(__xludf.DUMMYFUNCTION("""COMPUTED_VALUE"""),"Wonderland")</f>
        <v>Wonderland</v>
      </c>
      <c r="M178" s="9" t="str">
        <f>IFERROR(__xludf.DUMMYFUNCTION("""COMPUTED_VALUE"""),"Mina Organic")</f>
        <v>Mina Organic</v>
      </c>
      <c r="N178" s="9" t="str">
        <f>IFERROR(__xludf.DUMMYFUNCTION("""COMPUTED_VALUE"""),"Less Sugar")</f>
        <v>Less Sugar</v>
      </c>
      <c r="O178" s="9" t="str">
        <f>IFERROR(__xludf.DUMMYFUNCTION("""COMPUTED_VALUE"""),"PLBT")</f>
        <v>PLBT</v>
      </c>
      <c r="P178" s="9">
        <f>IFERROR(__xludf.DUMMYFUNCTION("""COMPUTED_VALUE"""),237.0)</f>
        <v>237</v>
      </c>
      <c r="Q178" s="9" t="str">
        <f>IFERROR(__xludf.DUMMYFUNCTION("""COMPUTED_VALUE"""),"Q1'22")</f>
        <v>Q1'22</v>
      </c>
      <c r="R178" s="9">
        <f>IFERROR(__xludf.DUMMYFUNCTION("""COMPUTED_VALUE"""),2.031524666705944)</f>
        <v>2.031524667</v>
      </c>
    </row>
    <row r="179" ht="14.25" customHeight="1">
      <c r="A179" s="3" t="s">
        <v>10</v>
      </c>
      <c r="B179" s="3" t="s">
        <v>41</v>
      </c>
      <c r="C179" s="3" t="s">
        <v>42</v>
      </c>
      <c r="D179" s="3" t="s">
        <v>37</v>
      </c>
      <c r="E179" s="3" t="s">
        <v>43</v>
      </c>
      <c r="F179" s="3">
        <v>237.0</v>
      </c>
      <c r="G179" s="4" t="s">
        <v>16</v>
      </c>
      <c r="H179" s="3">
        <v>2.25634098113861</v>
      </c>
      <c r="K179" s="9" t="str">
        <f>IFERROR(__xludf.DUMMYFUNCTION("""COMPUTED_VALUE"""),"MT Urban")</f>
        <v>MT Urban</v>
      </c>
      <c r="L179" s="9" t="str">
        <f>IFERROR(__xludf.DUMMYFUNCTION("""COMPUTED_VALUE"""),"Wonderland")</f>
        <v>Wonderland</v>
      </c>
      <c r="M179" s="9" t="str">
        <f>IFERROR(__xludf.DUMMYFUNCTION("""COMPUTED_VALUE"""),"Mina Organic")</f>
        <v>Mina Organic</v>
      </c>
      <c r="N179" s="9" t="str">
        <f>IFERROR(__xludf.DUMMYFUNCTION("""COMPUTED_VALUE"""),"Less Sugar")</f>
        <v>Less Sugar</v>
      </c>
      <c r="O179" s="9" t="str">
        <f>IFERROR(__xludf.DUMMYFUNCTION("""COMPUTED_VALUE"""),"PLBT")</f>
        <v>PLBT</v>
      </c>
      <c r="P179" s="9">
        <f>IFERROR(__xludf.DUMMYFUNCTION("""COMPUTED_VALUE"""),237.0)</f>
        <v>237</v>
      </c>
      <c r="Q179" s="9" t="str">
        <f>IFERROR(__xludf.DUMMYFUNCTION("""COMPUTED_VALUE"""),"Q2'22")</f>
        <v>Q2'22</v>
      </c>
      <c r="R179" s="9">
        <f>IFERROR(__xludf.DUMMYFUNCTION("""COMPUTED_VALUE"""),2.25634098113861)</f>
        <v>2.256340981</v>
      </c>
    </row>
    <row r="180" ht="14.25" customHeight="1">
      <c r="A180" s="3" t="s">
        <v>10</v>
      </c>
      <c r="B180" s="3" t="s">
        <v>41</v>
      </c>
      <c r="C180" s="3" t="s">
        <v>42</v>
      </c>
      <c r="D180" s="3" t="s">
        <v>37</v>
      </c>
      <c r="E180" s="3" t="s">
        <v>43</v>
      </c>
      <c r="F180" s="3">
        <v>237.0</v>
      </c>
      <c r="G180" s="4" t="s">
        <v>17</v>
      </c>
      <c r="H180" s="3">
        <v>2.365333806001289</v>
      </c>
      <c r="K180" s="9" t="str">
        <f>IFERROR(__xludf.DUMMYFUNCTION("""COMPUTED_VALUE"""),"MT Urban")</f>
        <v>MT Urban</v>
      </c>
      <c r="L180" s="9" t="str">
        <f>IFERROR(__xludf.DUMMYFUNCTION("""COMPUTED_VALUE"""),"Wonderland")</f>
        <v>Wonderland</v>
      </c>
      <c r="M180" s="9" t="str">
        <f>IFERROR(__xludf.DUMMYFUNCTION("""COMPUTED_VALUE"""),"Mina Organic")</f>
        <v>Mina Organic</v>
      </c>
      <c r="N180" s="9" t="str">
        <f>IFERROR(__xludf.DUMMYFUNCTION("""COMPUTED_VALUE"""),"Less Sugar")</f>
        <v>Less Sugar</v>
      </c>
      <c r="O180" s="9" t="str">
        <f>IFERROR(__xludf.DUMMYFUNCTION("""COMPUTED_VALUE"""),"PLBT")</f>
        <v>PLBT</v>
      </c>
      <c r="P180" s="9">
        <f>IFERROR(__xludf.DUMMYFUNCTION("""COMPUTED_VALUE"""),237.0)</f>
        <v>237</v>
      </c>
      <c r="Q180" s="9" t="str">
        <f>IFERROR(__xludf.DUMMYFUNCTION("""COMPUTED_VALUE"""),"Q3'22")</f>
        <v>Q3'22</v>
      </c>
      <c r="R180" s="9">
        <f>IFERROR(__xludf.DUMMYFUNCTION("""COMPUTED_VALUE"""),2.365333806001289)</f>
        <v>2.365333806</v>
      </c>
    </row>
    <row r="181" ht="14.25" customHeight="1">
      <c r="A181" s="3" t="s">
        <v>10</v>
      </c>
      <c r="B181" s="3" t="s">
        <v>41</v>
      </c>
      <c r="C181" s="3" t="s">
        <v>42</v>
      </c>
      <c r="D181" s="3" t="s">
        <v>37</v>
      </c>
      <c r="E181" s="3" t="s">
        <v>43</v>
      </c>
      <c r="F181" s="3">
        <v>237.0</v>
      </c>
      <c r="G181" s="4" t="s">
        <v>18</v>
      </c>
      <c r="H181" s="3">
        <v>2.5126938256408886</v>
      </c>
      <c r="K181" s="9" t="str">
        <f>IFERROR(__xludf.DUMMYFUNCTION("""COMPUTED_VALUE"""),"MT Urban")</f>
        <v>MT Urban</v>
      </c>
      <c r="L181" s="9" t="str">
        <f>IFERROR(__xludf.DUMMYFUNCTION("""COMPUTED_VALUE"""),"Wonderland")</f>
        <v>Wonderland</v>
      </c>
      <c r="M181" s="9" t="str">
        <f>IFERROR(__xludf.DUMMYFUNCTION("""COMPUTED_VALUE"""),"Mina Organic")</f>
        <v>Mina Organic</v>
      </c>
      <c r="N181" s="9" t="str">
        <f>IFERROR(__xludf.DUMMYFUNCTION("""COMPUTED_VALUE"""),"Less Sugar")</f>
        <v>Less Sugar</v>
      </c>
      <c r="O181" s="9" t="str">
        <f>IFERROR(__xludf.DUMMYFUNCTION("""COMPUTED_VALUE"""),"PLBT")</f>
        <v>PLBT</v>
      </c>
      <c r="P181" s="9">
        <f>IFERROR(__xludf.DUMMYFUNCTION("""COMPUTED_VALUE"""),237.0)</f>
        <v>237</v>
      </c>
      <c r="Q181" s="9" t="str">
        <f>IFERROR(__xludf.DUMMYFUNCTION("""COMPUTED_VALUE"""),"Q4'22")</f>
        <v>Q4'22</v>
      </c>
      <c r="R181" s="9">
        <f>IFERROR(__xludf.DUMMYFUNCTION("""COMPUTED_VALUE"""),2.5126938256408886)</f>
        <v>2.512693826</v>
      </c>
    </row>
    <row r="182" ht="14.25" customHeight="1">
      <c r="A182" s="3" t="s">
        <v>10</v>
      </c>
      <c r="B182" s="3" t="s">
        <v>41</v>
      </c>
      <c r="C182" s="3" t="s">
        <v>42</v>
      </c>
      <c r="D182" s="3" t="s">
        <v>37</v>
      </c>
      <c r="E182" s="3" t="s">
        <v>43</v>
      </c>
      <c r="F182" s="3">
        <v>237.0</v>
      </c>
      <c r="G182" s="4" t="s">
        <v>19</v>
      </c>
      <c r="H182" s="3">
        <v>2.5650539137545385</v>
      </c>
      <c r="K182" s="9" t="str">
        <f>IFERROR(__xludf.DUMMYFUNCTION("""COMPUTED_VALUE"""),"MT Urban")</f>
        <v>MT Urban</v>
      </c>
      <c r="L182" s="9" t="str">
        <f>IFERROR(__xludf.DUMMYFUNCTION("""COMPUTED_VALUE"""),"Wonderland")</f>
        <v>Wonderland</v>
      </c>
      <c r="M182" s="9" t="str">
        <f>IFERROR(__xludf.DUMMYFUNCTION("""COMPUTED_VALUE"""),"Mina Organic")</f>
        <v>Mina Organic</v>
      </c>
      <c r="N182" s="9" t="str">
        <f>IFERROR(__xludf.DUMMYFUNCTION("""COMPUTED_VALUE"""),"Less Sugar")</f>
        <v>Less Sugar</v>
      </c>
      <c r="O182" s="9" t="str">
        <f>IFERROR(__xludf.DUMMYFUNCTION("""COMPUTED_VALUE"""),"PLBT")</f>
        <v>PLBT</v>
      </c>
      <c r="P182" s="9">
        <f>IFERROR(__xludf.DUMMYFUNCTION("""COMPUTED_VALUE"""),237.0)</f>
        <v>237</v>
      </c>
      <c r="Q182" s="9" t="str">
        <f>IFERROR(__xludf.DUMMYFUNCTION("""COMPUTED_VALUE"""),"Q1'23")</f>
        <v>Q1'23</v>
      </c>
      <c r="R182" s="9">
        <f>IFERROR(__xludf.DUMMYFUNCTION("""COMPUTED_VALUE"""),2.5650539137545385)</f>
        <v>2.565053914</v>
      </c>
    </row>
    <row r="183" ht="14.25" customHeight="1">
      <c r="A183" s="3" t="s">
        <v>10</v>
      </c>
      <c r="B183" s="3" t="s">
        <v>41</v>
      </c>
      <c r="C183" s="3" t="s">
        <v>42</v>
      </c>
      <c r="D183" s="3" t="s">
        <v>37</v>
      </c>
      <c r="E183" s="3" t="s">
        <v>43</v>
      </c>
      <c r="F183" s="3">
        <v>237.0</v>
      </c>
      <c r="G183" s="4" t="s">
        <v>20</v>
      </c>
      <c r="H183" s="3">
        <v>2.6077168366666106</v>
      </c>
      <c r="K183" s="9" t="str">
        <f>IFERROR(__xludf.DUMMYFUNCTION("""COMPUTED_VALUE"""),"MT Urban")</f>
        <v>MT Urban</v>
      </c>
      <c r="L183" s="9" t="str">
        <f>IFERROR(__xludf.DUMMYFUNCTION("""COMPUTED_VALUE"""),"Wonderland")</f>
        <v>Wonderland</v>
      </c>
      <c r="M183" s="9" t="str">
        <f>IFERROR(__xludf.DUMMYFUNCTION("""COMPUTED_VALUE"""),"Mina Organic")</f>
        <v>Mina Organic</v>
      </c>
      <c r="N183" s="9" t="str">
        <f>IFERROR(__xludf.DUMMYFUNCTION("""COMPUTED_VALUE"""),"Less Sugar")</f>
        <v>Less Sugar</v>
      </c>
      <c r="O183" s="9" t="str">
        <f>IFERROR(__xludf.DUMMYFUNCTION("""COMPUTED_VALUE"""),"PLBT")</f>
        <v>PLBT</v>
      </c>
      <c r="P183" s="9">
        <f>IFERROR(__xludf.DUMMYFUNCTION("""COMPUTED_VALUE"""),237.0)</f>
        <v>237</v>
      </c>
      <c r="Q183" s="9" t="str">
        <f>IFERROR(__xludf.DUMMYFUNCTION("""COMPUTED_VALUE"""),"Q2'23")</f>
        <v>Q2'23</v>
      </c>
      <c r="R183" s="9">
        <f>IFERROR(__xludf.DUMMYFUNCTION("""COMPUTED_VALUE"""),2.6077168366666106)</f>
        <v>2.607716837</v>
      </c>
    </row>
    <row r="184" ht="14.25" customHeight="1">
      <c r="A184" s="3" t="s">
        <v>10</v>
      </c>
      <c r="B184" s="3" t="s">
        <v>41</v>
      </c>
      <c r="C184" s="3" t="s">
        <v>42</v>
      </c>
      <c r="D184" s="3" t="s">
        <v>37</v>
      </c>
      <c r="E184" s="3" t="s">
        <v>43</v>
      </c>
      <c r="F184" s="3">
        <v>237.0</v>
      </c>
      <c r="G184" s="4" t="s">
        <v>21</v>
      </c>
      <c r="H184" s="3">
        <v>2.9874680812372287</v>
      </c>
      <c r="K184" s="9" t="str">
        <f>IFERROR(__xludf.DUMMYFUNCTION("""COMPUTED_VALUE"""),"MT Urban")</f>
        <v>MT Urban</v>
      </c>
      <c r="L184" s="9" t="str">
        <f>IFERROR(__xludf.DUMMYFUNCTION("""COMPUTED_VALUE"""),"Wonderland")</f>
        <v>Wonderland</v>
      </c>
      <c r="M184" s="9" t="str">
        <f>IFERROR(__xludf.DUMMYFUNCTION("""COMPUTED_VALUE"""),"Mina Organic")</f>
        <v>Mina Organic</v>
      </c>
      <c r="N184" s="9" t="str">
        <f>IFERROR(__xludf.DUMMYFUNCTION("""COMPUTED_VALUE"""),"Less Sugar")</f>
        <v>Less Sugar</v>
      </c>
      <c r="O184" s="9" t="str">
        <f>IFERROR(__xludf.DUMMYFUNCTION("""COMPUTED_VALUE"""),"PLBT")</f>
        <v>PLBT</v>
      </c>
      <c r="P184" s="9">
        <f>IFERROR(__xludf.DUMMYFUNCTION("""COMPUTED_VALUE"""),237.0)</f>
        <v>237</v>
      </c>
      <c r="Q184" s="9" t="str">
        <f>IFERROR(__xludf.DUMMYFUNCTION("""COMPUTED_VALUE"""),"Q3'23")</f>
        <v>Q3'23</v>
      </c>
      <c r="R184" s="9">
        <f>IFERROR(__xludf.DUMMYFUNCTION("""COMPUTED_VALUE"""),2.9874680812372287)</f>
        <v>2.987468081</v>
      </c>
    </row>
    <row r="185" ht="14.25" customHeight="1">
      <c r="A185" s="3" t="s">
        <v>10</v>
      </c>
      <c r="B185" s="3" t="s">
        <v>41</v>
      </c>
      <c r="C185" s="3" t="s">
        <v>42</v>
      </c>
      <c r="D185" s="3" t="s">
        <v>37</v>
      </c>
      <c r="E185" s="3" t="s">
        <v>43</v>
      </c>
      <c r="F185" s="3">
        <v>237.0</v>
      </c>
      <c r="G185" s="4" t="s">
        <v>22</v>
      </c>
      <c r="H185" s="3">
        <v>3.61187844726465</v>
      </c>
      <c r="K185" s="9" t="str">
        <f>IFERROR(__xludf.DUMMYFUNCTION("""COMPUTED_VALUE"""),"MT Urban")</f>
        <v>MT Urban</v>
      </c>
      <c r="L185" s="9" t="str">
        <f>IFERROR(__xludf.DUMMYFUNCTION("""COMPUTED_VALUE"""),"Wonderland")</f>
        <v>Wonderland</v>
      </c>
      <c r="M185" s="9" t="str">
        <f>IFERROR(__xludf.DUMMYFUNCTION("""COMPUTED_VALUE"""),"Mina Organic")</f>
        <v>Mina Organic</v>
      </c>
      <c r="N185" s="9" t="str">
        <f>IFERROR(__xludf.DUMMYFUNCTION("""COMPUTED_VALUE"""),"Less Sugar")</f>
        <v>Less Sugar</v>
      </c>
      <c r="O185" s="9" t="str">
        <f>IFERROR(__xludf.DUMMYFUNCTION("""COMPUTED_VALUE"""),"PLBT")</f>
        <v>PLBT</v>
      </c>
      <c r="P185" s="9">
        <f>IFERROR(__xludf.DUMMYFUNCTION("""COMPUTED_VALUE"""),237.0)</f>
        <v>237</v>
      </c>
      <c r="Q185" s="9" t="str">
        <f>IFERROR(__xludf.DUMMYFUNCTION("""COMPUTED_VALUE"""),"Q4'23")</f>
        <v>Q4'23</v>
      </c>
      <c r="R185" s="9">
        <f>IFERROR(__xludf.DUMMYFUNCTION("""COMPUTED_VALUE"""),3.61187844726465)</f>
        <v>3.611878447</v>
      </c>
    </row>
    <row r="186" ht="14.25" customHeight="1">
      <c r="A186" s="3" t="s">
        <v>10</v>
      </c>
      <c r="B186" s="3" t="s">
        <v>41</v>
      </c>
      <c r="C186" s="3" t="s">
        <v>44</v>
      </c>
      <c r="D186" s="3" t="s">
        <v>34</v>
      </c>
      <c r="E186" s="3" t="s">
        <v>43</v>
      </c>
      <c r="F186" s="3">
        <v>237.0</v>
      </c>
      <c r="G186" s="4" t="s">
        <v>15</v>
      </c>
      <c r="H186" s="3">
        <v>2.1885164155552115</v>
      </c>
      <c r="K186" s="9" t="str">
        <f>IFERROR(__xludf.DUMMYFUNCTION("""COMPUTED_VALUE"""),"MT Urban")</f>
        <v>MT Urban</v>
      </c>
      <c r="L186" s="9" t="str">
        <f>IFERROR(__xludf.DUMMYFUNCTION("""COMPUTED_VALUE"""),"Wonderland")</f>
        <v>Wonderland</v>
      </c>
      <c r="M186" s="9" t="str">
        <f>IFERROR(__xludf.DUMMYFUNCTION("""COMPUTED_VALUE"""),"Happy Kids")</f>
        <v>Happy Kids</v>
      </c>
      <c r="N186" s="9" t="str">
        <f>IFERROR(__xludf.DUMMYFUNCTION("""COMPUTED_VALUE"""),"Vanilla")</f>
        <v>Vanilla</v>
      </c>
      <c r="O186" s="9" t="str">
        <f>IFERROR(__xludf.DUMMYFUNCTION("""COMPUTED_VALUE"""),"PLBT")</f>
        <v>PLBT</v>
      </c>
      <c r="P186" s="9">
        <f>IFERROR(__xludf.DUMMYFUNCTION("""COMPUTED_VALUE"""),237.0)</f>
        <v>237</v>
      </c>
      <c r="Q186" s="9" t="str">
        <f>IFERROR(__xludf.DUMMYFUNCTION("""COMPUTED_VALUE"""),"Q1'22")</f>
        <v>Q1'22</v>
      </c>
      <c r="R186" s="9">
        <f>IFERROR(__xludf.DUMMYFUNCTION("""COMPUTED_VALUE"""),2.1885164155552115)</f>
        <v>2.188516416</v>
      </c>
    </row>
    <row r="187" ht="14.25" customHeight="1">
      <c r="A187" s="3" t="s">
        <v>10</v>
      </c>
      <c r="B187" s="3" t="s">
        <v>41</v>
      </c>
      <c r="C187" s="3" t="s">
        <v>44</v>
      </c>
      <c r="D187" s="3" t="s">
        <v>34</v>
      </c>
      <c r="E187" s="3" t="s">
        <v>43</v>
      </c>
      <c r="F187" s="3">
        <v>237.0</v>
      </c>
      <c r="G187" s="4" t="s">
        <v>16</v>
      </c>
      <c r="H187" s="3">
        <v>2.439966791936441</v>
      </c>
      <c r="K187" s="9" t="str">
        <f>IFERROR(__xludf.DUMMYFUNCTION("""COMPUTED_VALUE"""),"MT Urban")</f>
        <v>MT Urban</v>
      </c>
      <c r="L187" s="9" t="str">
        <f>IFERROR(__xludf.DUMMYFUNCTION("""COMPUTED_VALUE"""),"Wonderland")</f>
        <v>Wonderland</v>
      </c>
      <c r="M187" s="9" t="str">
        <f>IFERROR(__xludf.DUMMYFUNCTION("""COMPUTED_VALUE"""),"Happy Kids")</f>
        <v>Happy Kids</v>
      </c>
      <c r="N187" s="9" t="str">
        <f>IFERROR(__xludf.DUMMYFUNCTION("""COMPUTED_VALUE"""),"Vanilla")</f>
        <v>Vanilla</v>
      </c>
      <c r="O187" s="9" t="str">
        <f>IFERROR(__xludf.DUMMYFUNCTION("""COMPUTED_VALUE"""),"PLBT")</f>
        <v>PLBT</v>
      </c>
      <c r="P187" s="9">
        <f>IFERROR(__xludf.DUMMYFUNCTION("""COMPUTED_VALUE"""),237.0)</f>
        <v>237</v>
      </c>
      <c r="Q187" s="9" t="str">
        <f>IFERROR(__xludf.DUMMYFUNCTION("""COMPUTED_VALUE"""),"Q2'22")</f>
        <v>Q2'22</v>
      </c>
      <c r="R187" s="9">
        <f>IFERROR(__xludf.DUMMYFUNCTION("""COMPUTED_VALUE"""),2.439966791936441)</f>
        <v>2.439966792</v>
      </c>
    </row>
    <row r="188" ht="14.25" customHeight="1">
      <c r="A188" s="3" t="s">
        <v>10</v>
      </c>
      <c r="B188" s="3" t="s">
        <v>41</v>
      </c>
      <c r="C188" s="3" t="s">
        <v>44</v>
      </c>
      <c r="D188" s="3" t="s">
        <v>34</v>
      </c>
      <c r="E188" s="3" t="s">
        <v>43</v>
      </c>
      <c r="F188" s="3">
        <v>237.0</v>
      </c>
      <c r="G188" s="4" t="s">
        <v>17</v>
      </c>
      <c r="H188" s="3">
        <v>3.039444194852805</v>
      </c>
      <c r="K188" s="9" t="str">
        <f>IFERROR(__xludf.DUMMYFUNCTION("""COMPUTED_VALUE"""),"MT Urban")</f>
        <v>MT Urban</v>
      </c>
      <c r="L188" s="9" t="str">
        <f>IFERROR(__xludf.DUMMYFUNCTION("""COMPUTED_VALUE"""),"Wonderland")</f>
        <v>Wonderland</v>
      </c>
      <c r="M188" s="9" t="str">
        <f>IFERROR(__xludf.DUMMYFUNCTION("""COMPUTED_VALUE"""),"Happy Kids")</f>
        <v>Happy Kids</v>
      </c>
      <c r="N188" s="9" t="str">
        <f>IFERROR(__xludf.DUMMYFUNCTION("""COMPUTED_VALUE"""),"Vanilla")</f>
        <v>Vanilla</v>
      </c>
      <c r="O188" s="9" t="str">
        <f>IFERROR(__xludf.DUMMYFUNCTION("""COMPUTED_VALUE"""),"PLBT")</f>
        <v>PLBT</v>
      </c>
      <c r="P188" s="9">
        <f>IFERROR(__xludf.DUMMYFUNCTION("""COMPUTED_VALUE"""),237.0)</f>
        <v>237</v>
      </c>
      <c r="Q188" s="9" t="str">
        <f>IFERROR(__xludf.DUMMYFUNCTION("""COMPUTED_VALUE"""),"Q3'22")</f>
        <v>Q3'22</v>
      </c>
      <c r="R188" s="9">
        <f>IFERROR(__xludf.DUMMYFUNCTION("""COMPUTED_VALUE"""),3.039444194852805)</f>
        <v>3.039444195</v>
      </c>
    </row>
    <row r="189" ht="14.25" customHeight="1">
      <c r="A189" s="3" t="s">
        <v>10</v>
      </c>
      <c r="B189" s="3" t="s">
        <v>41</v>
      </c>
      <c r="C189" s="3" t="s">
        <v>44</v>
      </c>
      <c r="D189" s="3" t="s">
        <v>34</v>
      </c>
      <c r="E189" s="3" t="s">
        <v>43</v>
      </c>
      <c r="F189" s="3">
        <v>237.0</v>
      </c>
      <c r="G189" s="4" t="s">
        <v>18</v>
      </c>
      <c r="H189" s="3">
        <v>3.2475716936203636</v>
      </c>
      <c r="K189" s="9" t="str">
        <f>IFERROR(__xludf.DUMMYFUNCTION("""COMPUTED_VALUE"""),"MT Urban")</f>
        <v>MT Urban</v>
      </c>
      <c r="L189" s="9" t="str">
        <f>IFERROR(__xludf.DUMMYFUNCTION("""COMPUTED_VALUE"""),"Wonderland")</f>
        <v>Wonderland</v>
      </c>
      <c r="M189" s="9" t="str">
        <f>IFERROR(__xludf.DUMMYFUNCTION("""COMPUTED_VALUE"""),"Happy Kids")</f>
        <v>Happy Kids</v>
      </c>
      <c r="N189" s="9" t="str">
        <f>IFERROR(__xludf.DUMMYFUNCTION("""COMPUTED_VALUE"""),"Vanilla")</f>
        <v>Vanilla</v>
      </c>
      <c r="O189" s="9" t="str">
        <f>IFERROR(__xludf.DUMMYFUNCTION("""COMPUTED_VALUE"""),"PLBT")</f>
        <v>PLBT</v>
      </c>
      <c r="P189" s="9">
        <f>IFERROR(__xludf.DUMMYFUNCTION("""COMPUTED_VALUE"""),237.0)</f>
        <v>237</v>
      </c>
      <c r="Q189" s="9" t="str">
        <f>IFERROR(__xludf.DUMMYFUNCTION("""COMPUTED_VALUE"""),"Q4'22")</f>
        <v>Q4'22</v>
      </c>
      <c r="R189" s="9">
        <f>IFERROR(__xludf.DUMMYFUNCTION("""COMPUTED_VALUE"""),3.2475716936203636)</f>
        <v>3.247571694</v>
      </c>
    </row>
    <row r="190" ht="14.25" customHeight="1">
      <c r="A190" s="3" t="s">
        <v>10</v>
      </c>
      <c r="B190" s="3" t="s">
        <v>41</v>
      </c>
      <c r="C190" s="3" t="s">
        <v>44</v>
      </c>
      <c r="D190" s="3" t="s">
        <v>34</v>
      </c>
      <c r="E190" s="3" t="s">
        <v>43</v>
      </c>
      <c r="F190" s="3">
        <v>237.0</v>
      </c>
      <c r="G190" s="4" t="s">
        <v>19</v>
      </c>
      <c r="H190" s="3">
        <v>3.4150241066240774</v>
      </c>
      <c r="K190" s="9" t="str">
        <f>IFERROR(__xludf.DUMMYFUNCTION("""COMPUTED_VALUE"""),"MT Urban")</f>
        <v>MT Urban</v>
      </c>
      <c r="L190" s="9" t="str">
        <f>IFERROR(__xludf.DUMMYFUNCTION("""COMPUTED_VALUE"""),"Wonderland")</f>
        <v>Wonderland</v>
      </c>
      <c r="M190" s="9" t="str">
        <f>IFERROR(__xludf.DUMMYFUNCTION("""COMPUTED_VALUE"""),"Happy Kids")</f>
        <v>Happy Kids</v>
      </c>
      <c r="N190" s="9" t="str">
        <f>IFERROR(__xludf.DUMMYFUNCTION("""COMPUTED_VALUE"""),"Vanilla")</f>
        <v>Vanilla</v>
      </c>
      <c r="O190" s="9" t="str">
        <f>IFERROR(__xludf.DUMMYFUNCTION("""COMPUTED_VALUE"""),"PLBT")</f>
        <v>PLBT</v>
      </c>
      <c r="P190" s="9">
        <f>IFERROR(__xludf.DUMMYFUNCTION("""COMPUTED_VALUE"""),237.0)</f>
        <v>237</v>
      </c>
      <c r="Q190" s="9" t="str">
        <f>IFERROR(__xludf.DUMMYFUNCTION("""COMPUTED_VALUE"""),"Q1'23")</f>
        <v>Q1'23</v>
      </c>
      <c r="R190" s="9">
        <f>IFERROR(__xludf.DUMMYFUNCTION("""COMPUTED_VALUE"""),3.4150241066240774)</f>
        <v>3.415024107</v>
      </c>
    </row>
    <row r="191" ht="14.25" customHeight="1">
      <c r="A191" s="3" t="s">
        <v>10</v>
      </c>
      <c r="B191" s="3" t="s">
        <v>41</v>
      </c>
      <c r="C191" s="3" t="s">
        <v>44</v>
      </c>
      <c r="D191" s="3" t="s">
        <v>34</v>
      </c>
      <c r="E191" s="3" t="s">
        <v>43</v>
      </c>
      <c r="F191" s="3">
        <v>237.0</v>
      </c>
      <c r="G191" s="4" t="s">
        <v>20</v>
      </c>
      <c r="H191" s="3">
        <v>3.480013364149227</v>
      </c>
      <c r="K191" s="9" t="str">
        <f>IFERROR(__xludf.DUMMYFUNCTION("""COMPUTED_VALUE"""),"MT Urban")</f>
        <v>MT Urban</v>
      </c>
      <c r="L191" s="9" t="str">
        <f>IFERROR(__xludf.DUMMYFUNCTION("""COMPUTED_VALUE"""),"Wonderland")</f>
        <v>Wonderland</v>
      </c>
      <c r="M191" s="9" t="str">
        <f>IFERROR(__xludf.DUMMYFUNCTION("""COMPUTED_VALUE"""),"Happy Kids")</f>
        <v>Happy Kids</v>
      </c>
      <c r="N191" s="9" t="str">
        <f>IFERROR(__xludf.DUMMYFUNCTION("""COMPUTED_VALUE"""),"Vanilla")</f>
        <v>Vanilla</v>
      </c>
      <c r="O191" s="9" t="str">
        <f>IFERROR(__xludf.DUMMYFUNCTION("""COMPUTED_VALUE"""),"PLBT")</f>
        <v>PLBT</v>
      </c>
      <c r="P191" s="9">
        <f>IFERROR(__xludf.DUMMYFUNCTION("""COMPUTED_VALUE"""),237.0)</f>
        <v>237</v>
      </c>
      <c r="Q191" s="9" t="str">
        <f>IFERROR(__xludf.DUMMYFUNCTION("""COMPUTED_VALUE"""),"Q2'23")</f>
        <v>Q2'23</v>
      </c>
      <c r="R191" s="9">
        <f>IFERROR(__xludf.DUMMYFUNCTION("""COMPUTED_VALUE"""),3.480013364149227)</f>
        <v>3.480013364</v>
      </c>
    </row>
    <row r="192" ht="14.25" customHeight="1">
      <c r="A192" s="3" t="s">
        <v>10</v>
      </c>
      <c r="B192" s="3" t="s">
        <v>41</v>
      </c>
      <c r="C192" s="3" t="s">
        <v>44</v>
      </c>
      <c r="D192" s="3" t="s">
        <v>34</v>
      </c>
      <c r="E192" s="3" t="s">
        <v>43</v>
      </c>
      <c r="F192" s="3">
        <v>237.0</v>
      </c>
      <c r="G192" s="4" t="s">
        <v>21</v>
      </c>
      <c r="H192" s="3">
        <v>3.9982913212104627</v>
      </c>
      <c r="K192" s="9" t="str">
        <f>IFERROR(__xludf.DUMMYFUNCTION("""COMPUTED_VALUE"""),"MT Urban")</f>
        <v>MT Urban</v>
      </c>
      <c r="L192" s="9" t="str">
        <f>IFERROR(__xludf.DUMMYFUNCTION("""COMPUTED_VALUE"""),"Wonderland")</f>
        <v>Wonderland</v>
      </c>
      <c r="M192" s="9" t="str">
        <f>IFERROR(__xludf.DUMMYFUNCTION("""COMPUTED_VALUE"""),"Happy Kids")</f>
        <v>Happy Kids</v>
      </c>
      <c r="N192" s="9" t="str">
        <f>IFERROR(__xludf.DUMMYFUNCTION("""COMPUTED_VALUE"""),"Vanilla")</f>
        <v>Vanilla</v>
      </c>
      <c r="O192" s="9" t="str">
        <f>IFERROR(__xludf.DUMMYFUNCTION("""COMPUTED_VALUE"""),"PLBT")</f>
        <v>PLBT</v>
      </c>
      <c r="P192" s="9">
        <f>IFERROR(__xludf.DUMMYFUNCTION("""COMPUTED_VALUE"""),237.0)</f>
        <v>237</v>
      </c>
      <c r="Q192" s="9" t="str">
        <f>IFERROR(__xludf.DUMMYFUNCTION("""COMPUTED_VALUE"""),"Q3'23")</f>
        <v>Q3'23</v>
      </c>
      <c r="R192" s="9">
        <f>IFERROR(__xludf.DUMMYFUNCTION("""COMPUTED_VALUE"""),3.9982913212104627)</f>
        <v>3.998291321</v>
      </c>
    </row>
    <row r="193" ht="14.25" customHeight="1">
      <c r="A193" s="3" t="s">
        <v>10</v>
      </c>
      <c r="B193" s="3" t="s">
        <v>41</v>
      </c>
      <c r="C193" s="3" t="s">
        <v>44</v>
      </c>
      <c r="D193" s="3" t="s">
        <v>34</v>
      </c>
      <c r="E193" s="3" t="s">
        <v>43</v>
      </c>
      <c r="F193" s="3">
        <v>237.0</v>
      </c>
      <c r="G193" s="4" t="s">
        <v>22</v>
      </c>
      <c r="H193" s="3">
        <v>3.7137940907313065</v>
      </c>
      <c r="K193" s="9" t="str">
        <f>IFERROR(__xludf.DUMMYFUNCTION("""COMPUTED_VALUE"""),"MT Urban")</f>
        <v>MT Urban</v>
      </c>
      <c r="L193" s="9" t="str">
        <f>IFERROR(__xludf.DUMMYFUNCTION("""COMPUTED_VALUE"""),"Wonderland")</f>
        <v>Wonderland</v>
      </c>
      <c r="M193" s="9" t="str">
        <f>IFERROR(__xludf.DUMMYFUNCTION("""COMPUTED_VALUE"""),"Happy Kids")</f>
        <v>Happy Kids</v>
      </c>
      <c r="N193" s="9" t="str">
        <f>IFERROR(__xludf.DUMMYFUNCTION("""COMPUTED_VALUE"""),"Vanilla")</f>
        <v>Vanilla</v>
      </c>
      <c r="O193" s="9" t="str">
        <f>IFERROR(__xludf.DUMMYFUNCTION("""COMPUTED_VALUE"""),"PLBT")</f>
        <v>PLBT</v>
      </c>
      <c r="P193" s="9">
        <f>IFERROR(__xludf.DUMMYFUNCTION("""COMPUTED_VALUE"""),237.0)</f>
        <v>237</v>
      </c>
      <c r="Q193" s="9" t="str">
        <f>IFERROR(__xludf.DUMMYFUNCTION("""COMPUTED_VALUE"""),"Q4'23")</f>
        <v>Q4'23</v>
      </c>
      <c r="R193" s="9">
        <f>IFERROR(__xludf.DUMMYFUNCTION("""COMPUTED_VALUE"""),3.7137940907313065)</f>
        <v>3.713794091</v>
      </c>
    </row>
    <row r="194" ht="14.25" customHeight="1">
      <c r="A194" s="3" t="s">
        <v>23</v>
      </c>
      <c r="B194" s="3" t="s">
        <v>11</v>
      </c>
      <c r="C194" s="3" t="s">
        <v>27</v>
      </c>
      <c r="D194" s="3" t="s">
        <v>30</v>
      </c>
      <c r="E194" s="3" t="s">
        <v>14</v>
      </c>
      <c r="F194" s="3">
        <v>1000.0</v>
      </c>
      <c r="G194" s="4" t="s">
        <v>15</v>
      </c>
      <c r="H194" s="3">
        <v>0.6450124594446083</v>
      </c>
      <c r="K194" s="9" t="str">
        <f>IFERROR(__xludf.DUMMYFUNCTION("""COMPUTED_VALUE"""),"TT Off North")</f>
        <v>TT Off North</v>
      </c>
      <c r="L194" s="9" t="str">
        <f>IFERROR(__xludf.DUMMYFUNCTION("""COMPUTED_VALUE"""),"Elite")</f>
        <v>Elite</v>
      </c>
      <c r="M194" s="9" t="str">
        <f>IFERROR(__xludf.DUMMYFUNCTION("""COMPUTED_VALUE"""),"Unami Organic")</f>
        <v>Unami Organic</v>
      </c>
      <c r="N194" s="9" t="str">
        <f>IFERROR(__xludf.DUMMYFUNCTION("""COMPUTED_VALUE"""),"Plain")</f>
        <v>Plain</v>
      </c>
      <c r="O194" s="9" t="str">
        <f>IFERROR(__xludf.DUMMYFUNCTION("""COMPUTED_VALUE"""),"Carton")</f>
        <v>Carton</v>
      </c>
      <c r="P194" s="9">
        <f>IFERROR(__xludf.DUMMYFUNCTION("""COMPUTED_VALUE"""),1000.0)</f>
        <v>1000</v>
      </c>
      <c r="Q194" s="9" t="str">
        <f>IFERROR(__xludf.DUMMYFUNCTION("""COMPUTED_VALUE"""),"Q1'22")</f>
        <v>Q1'22</v>
      </c>
      <c r="R194" s="9">
        <f>IFERROR(__xludf.DUMMYFUNCTION("""COMPUTED_VALUE"""),1.0775025582539133)</f>
        <v>1.077502558</v>
      </c>
    </row>
    <row r="195" ht="14.25" customHeight="1">
      <c r="A195" s="3" t="s">
        <v>23</v>
      </c>
      <c r="B195" s="3" t="s">
        <v>11</v>
      </c>
      <c r="C195" s="3" t="s">
        <v>27</v>
      </c>
      <c r="D195" s="3" t="s">
        <v>30</v>
      </c>
      <c r="E195" s="3" t="s">
        <v>14</v>
      </c>
      <c r="F195" s="3">
        <v>1000.0</v>
      </c>
      <c r="G195" s="4" t="s">
        <v>16</v>
      </c>
      <c r="H195" s="3">
        <v>0.7717666154387343</v>
      </c>
      <c r="K195" s="9" t="str">
        <f>IFERROR(__xludf.DUMMYFUNCTION("""COMPUTED_VALUE"""),"TT Off North")</f>
        <v>TT Off North</v>
      </c>
      <c r="L195" s="9" t="str">
        <f>IFERROR(__xludf.DUMMYFUNCTION("""COMPUTED_VALUE"""),"Elite")</f>
        <v>Elite</v>
      </c>
      <c r="M195" s="9" t="str">
        <f>IFERROR(__xludf.DUMMYFUNCTION("""COMPUTED_VALUE"""),"Unami Organic")</f>
        <v>Unami Organic</v>
      </c>
      <c r="N195" s="9" t="str">
        <f>IFERROR(__xludf.DUMMYFUNCTION("""COMPUTED_VALUE"""),"Plain")</f>
        <v>Plain</v>
      </c>
      <c r="O195" s="9" t="str">
        <f>IFERROR(__xludf.DUMMYFUNCTION("""COMPUTED_VALUE"""),"Carton")</f>
        <v>Carton</v>
      </c>
      <c r="P195" s="9">
        <f>IFERROR(__xludf.DUMMYFUNCTION("""COMPUTED_VALUE"""),1000.0)</f>
        <v>1000</v>
      </c>
      <c r="Q195" s="9" t="str">
        <f>IFERROR(__xludf.DUMMYFUNCTION("""COMPUTED_VALUE"""),"Q2'22")</f>
        <v>Q2'22</v>
      </c>
      <c r="R195" s="9">
        <f>IFERROR(__xludf.DUMMYFUNCTION("""COMPUTED_VALUE"""),1.5236430584106337)</f>
        <v>1.523643058</v>
      </c>
    </row>
    <row r="196" ht="14.25" customHeight="1">
      <c r="A196" s="3" t="s">
        <v>23</v>
      </c>
      <c r="B196" s="3" t="s">
        <v>11</v>
      </c>
      <c r="C196" s="3" t="s">
        <v>27</v>
      </c>
      <c r="D196" s="3" t="s">
        <v>30</v>
      </c>
      <c r="E196" s="3" t="s">
        <v>14</v>
      </c>
      <c r="F196" s="3">
        <v>1000.0</v>
      </c>
      <c r="G196" s="4" t="s">
        <v>17</v>
      </c>
      <c r="H196" s="3">
        <v>0.7302744016139251</v>
      </c>
      <c r="K196" s="9" t="str">
        <f>IFERROR(__xludf.DUMMYFUNCTION("""COMPUTED_VALUE"""),"TT Off North")</f>
        <v>TT Off North</v>
      </c>
      <c r="L196" s="9" t="str">
        <f>IFERROR(__xludf.DUMMYFUNCTION("""COMPUTED_VALUE"""),"Elite")</f>
        <v>Elite</v>
      </c>
      <c r="M196" s="9" t="str">
        <f>IFERROR(__xludf.DUMMYFUNCTION("""COMPUTED_VALUE"""),"Unami Organic")</f>
        <v>Unami Organic</v>
      </c>
      <c r="N196" s="9" t="str">
        <f>IFERROR(__xludf.DUMMYFUNCTION("""COMPUTED_VALUE"""),"Plain")</f>
        <v>Plain</v>
      </c>
      <c r="O196" s="9" t="str">
        <f>IFERROR(__xludf.DUMMYFUNCTION("""COMPUTED_VALUE"""),"Carton")</f>
        <v>Carton</v>
      </c>
      <c r="P196" s="9">
        <f>IFERROR(__xludf.DUMMYFUNCTION("""COMPUTED_VALUE"""),1000.0)</f>
        <v>1000</v>
      </c>
      <c r="Q196" s="9" t="str">
        <f>IFERROR(__xludf.DUMMYFUNCTION("""COMPUTED_VALUE"""),"Q3'22")</f>
        <v>Q3'22</v>
      </c>
      <c r="R196" s="9">
        <f>IFERROR(__xludf.DUMMYFUNCTION("""COMPUTED_VALUE"""),1.3885338231559055)</f>
        <v>1.388533823</v>
      </c>
    </row>
    <row r="197" ht="14.25" customHeight="1">
      <c r="A197" s="3" t="s">
        <v>23</v>
      </c>
      <c r="B197" s="3" t="s">
        <v>11</v>
      </c>
      <c r="C197" s="3" t="s">
        <v>27</v>
      </c>
      <c r="D197" s="3" t="s">
        <v>30</v>
      </c>
      <c r="E197" s="3" t="s">
        <v>14</v>
      </c>
      <c r="F197" s="3">
        <v>1000.0</v>
      </c>
      <c r="G197" s="4" t="s">
        <v>18</v>
      </c>
      <c r="H197" s="3">
        <v>0.6631725588774904</v>
      </c>
      <c r="K197" s="9" t="str">
        <f>IFERROR(__xludf.DUMMYFUNCTION("""COMPUTED_VALUE"""),"TT Off North")</f>
        <v>TT Off North</v>
      </c>
      <c r="L197" s="9" t="str">
        <f>IFERROR(__xludf.DUMMYFUNCTION("""COMPUTED_VALUE"""),"Elite")</f>
        <v>Elite</v>
      </c>
      <c r="M197" s="9" t="str">
        <f>IFERROR(__xludf.DUMMYFUNCTION("""COMPUTED_VALUE"""),"Unami Organic")</f>
        <v>Unami Organic</v>
      </c>
      <c r="N197" s="9" t="str">
        <f>IFERROR(__xludf.DUMMYFUNCTION("""COMPUTED_VALUE"""),"Plain")</f>
        <v>Plain</v>
      </c>
      <c r="O197" s="9" t="str">
        <f>IFERROR(__xludf.DUMMYFUNCTION("""COMPUTED_VALUE"""),"Carton")</f>
        <v>Carton</v>
      </c>
      <c r="P197" s="9">
        <f>IFERROR(__xludf.DUMMYFUNCTION("""COMPUTED_VALUE"""),1000.0)</f>
        <v>1000</v>
      </c>
      <c r="Q197" s="9" t="str">
        <f>IFERROR(__xludf.DUMMYFUNCTION("""COMPUTED_VALUE"""),"Q4'22")</f>
        <v>Q4'22</v>
      </c>
      <c r="R197" s="9">
        <f>IFERROR(__xludf.DUMMYFUNCTION("""COMPUTED_VALUE"""),1.0810189529131633)</f>
        <v>1.081018953</v>
      </c>
    </row>
    <row r="198" ht="14.25" customHeight="1">
      <c r="A198" s="3" t="s">
        <v>23</v>
      </c>
      <c r="B198" s="3" t="s">
        <v>11</v>
      </c>
      <c r="C198" s="3" t="s">
        <v>27</v>
      </c>
      <c r="D198" s="3" t="s">
        <v>30</v>
      </c>
      <c r="E198" s="3" t="s">
        <v>14</v>
      </c>
      <c r="F198" s="3">
        <v>1000.0</v>
      </c>
      <c r="G198" s="4" t="s">
        <v>19</v>
      </c>
      <c r="H198" s="3">
        <v>0.6404481561773417</v>
      </c>
      <c r="K198" s="9" t="str">
        <f>IFERROR(__xludf.DUMMYFUNCTION("""COMPUTED_VALUE"""),"TT Off North")</f>
        <v>TT Off North</v>
      </c>
      <c r="L198" s="9" t="str">
        <f>IFERROR(__xludf.DUMMYFUNCTION("""COMPUTED_VALUE"""),"Elite")</f>
        <v>Elite</v>
      </c>
      <c r="M198" s="9" t="str">
        <f>IFERROR(__xludf.DUMMYFUNCTION("""COMPUTED_VALUE"""),"Unami Organic")</f>
        <v>Unami Organic</v>
      </c>
      <c r="N198" s="9" t="str">
        <f>IFERROR(__xludf.DUMMYFUNCTION("""COMPUTED_VALUE"""),"Plain")</f>
        <v>Plain</v>
      </c>
      <c r="O198" s="9" t="str">
        <f>IFERROR(__xludf.DUMMYFUNCTION("""COMPUTED_VALUE"""),"Carton")</f>
        <v>Carton</v>
      </c>
      <c r="P198" s="9">
        <f>IFERROR(__xludf.DUMMYFUNCTION("""COMPUTED_VALUE"""),1000.0)</f>
        <v>1000</v>
      </c>
      <c r="Q198" s="9" t="str">
        <f>IFERROR(__xludf.DUMMYFUNCTION("""COMPUTED_VALUE"""),"Q1'23")</f>
        <v>Q1'23</v>
      </c>
      <c r="R198" s="9">
        <f>IFERROR(__xludf.DUMMYFUNCTION("""COMPUTED_VALUE"""),1.1116715996067301)</f>
        <v>1.1116716</v>
      </c>
    </row>
    <row r="199" ht="14.25" customHeight="1">
      <c r="A199" s="3" t="s">
        <v>23</v>
      </c>
      <c r="B199" s="3" t="s">
        <v>11</v>
      </c>
      <c r="C199" s="3" t="s">
        <v>27</v>
      </c>
      <c r="D199" s="3" t="s">
        <v>30</v>
      </c>
      <c r="E199" s="3" t="s">
        <v>14</v>
      </c>
      <c r="F199" s="3">
        <v>1000.0</v>
      </c>
      <c r="G199" s="4" t="s">
        <v>20</v>
      </c>
      <c r="H199" s="3">
        <v>0.6966397739346804</v>
      </c>
      <c r="K199" s="9" t="str">
        <f>IFERROR(__xludf.DUMMYFUNCTION("""COMPUTED_VALUE"""),"TT Off North")</f>
        <v>TT Off North</v>
      </c>
      <c r="L199" s="9" t="str">
        <f>IFERROR(__xludf.DUMMYFUNCTION("""COMPUTED_VALUE"""),"Elite")</f>
        <v>Elite</v>
      </c>
      <c r="M199" s="9" t="str">
        <f>IFERROR(__xludf.DUMMYFUNCTION("""COMPUTED_VALUE"""),"Unami Organic")</f>
        <v>Unami Organic</v>
      </c>
      <c r="N199" s="9" t="str">
        <f>IFERROR(__xludf.DUMMYFUNCTION("""COMPUTED_VALUE"""),"Plain")</f>
        <v>Plain</v>
      </c>
      <c r="O199" s="9" t="str">
        <f>IFERROR(__xludf.DUMMYFUNCTION("""COMPUTED_VALUE"""),"Carton")</f>
        <v>Carton</v>
      </c>
      <c r="P199" s="9">
        <f>IFERROR(__xludf.DUMMYFUNCTION("""COMPUTED_VALUE"""),1000.0)</f>
        <v>1000</v>
      </c>
      <c r="Q199" s="9" t="str">
        <f>IFERROR(__xludf.DUMMYFUNCTION("""COMPUTED_VALUE"""),"Q2'23")</f>
        <v>Q2'23</v>
      </c>
      <c r="R199" s="9">
        <f>IFERROR(__xludf.DUMMYFUNCTION("""COMPUTED_VALUE"""),1.2594572296722673)</f>
        <v>1.25945723</v>
      </c>
    </row>
    <row r="200" ht="14.25" customHeight="1">
      <c r="A200" s="3" t="s">
        <v>23</v>
      </c>
      <c r="B200" s="3" t="s">
        <v>11</v>
      </c>
      <c r="C200" s="3" t="s">
        <v>27</v>
      </c>
      <c r="D200" s="3" t="s">
        <v>30</v>
      </c>
      <c r="E200" s="3" t="s">
        <v>14</v>
      </c>
      <c r="F200" s="3">
        <v>1000.0</v>
      </c>
      <c r="G200" s="4" t="s">
        <v>21</v>
      </c>
      <c r="H200" s="3">
        <v>0.6518611265165677</v>
      </c>
      <c r="K200" s="9" t="str">
        <f>IFERROR(__xludf.DUMMYFUNCTION("""COMPUTED_VALUE"""),"TT Off North")</f>
        <v>TT Off North</v>
      </c>
      <c r="L200" s="9" t="str">
        <f>IFERROR(__xludf.DUMMYFUNCTION("""COMPUTED_VALUE"""),"Elite")</f>
        <v>Elite</v>
      </c>
      <c r="M200" s="9" t="str">
        <f>IFERROR(__xludf.DUMMYFUNCTION("""COMPUTED_VALUE"""),"Unami Organic")</f>
        <v>Unami Organic</v>
      </c>
      <c r="N200" s="9" t="str">
        <f>IFERROR(__xludf.DUMMYFUNCTION("""COMPUTED_VALUE"""),"Plain")</f>
        <v>Plain</v>
      </c>
      <c r="O200" s="9" t="str">
        <f>IFERROR(__xludf.DUMMYFUNCTION("""COMPUTED_VALUE"""),"Carton")</f>
        <v>Carton</v>
      </c>
      <c r="P200" s="9">
        <f>IFERROR(__xludf.DUMMYFUNCTION("""COMPUTED_VALUE"""),1000.0)</f>
        <v>1000</v>
      </c>
      <c r="Q200" s="9" t="str">
        <f>IFERROR(__xludf.DUMMYFUNCTION("""COMPUTED_VALUE"""),"Q3'23")</f>
        <v>Q3'23</v>
      </c>
      <c r="R200" s="9">
        <f>IFERROR(__xludf.DUMMYFUNCTION("""COMPUTED_VALUE"""),1.1446717389988814)</f>
        <v>1.144671739</v>
      </c>
    </row>
    <row r="201" ht="14.25" customHeight="1">
      <c r="A201" s="3" t="s">
        <v>23</v>
      </c>
      <c r="B201" s="3" t="s">
        <v>11</v>
      </c>
      <c r="C201" s="3" t="s">
        <v>27</v>
      </c>
      <c r="D201" s="3" t="s">
        <v>30</v>
      </c>
      <c r="E201" s="3" t="s">
        <v>14</v>
      </c>
      <c r="F201" s="3">
        <v>1000.0</v>
      </c>
      <c r="G201" s="4" t="s">
        <v>22</v>
      </c>
      <c r="H201" s="3">
        <v>0.5867002291680797</v>
      </c>
      <c r="K201" s="9" t="str">
        <f>IFERROR(__xludf.DUMMYFUNCTION("""COMPUTED_VALUE"""),"TT Off North")</f>
        <v>TT Off North</v>
      </c>
      <c r="L201" s="9" t="str">
        <f>IFERROR(__xludf.DUMMYFUNCTION("""COMPUTED_VALUE"""),"Elite")</f>
        <v>Elite</v>
      </c>
      <c r="M201" s="9" t="str">
        <f>IFERROR(__xludf.DUMMYFUNCTION("""COMPUTED_VALUE"""),"Unami Organic")</f>
        <v>Unami Organic</v>
      </c>
      <c r="N201" s="9" t="str">
        <f>IFERROR(__xludf.DUMMYFUNCTION("""COMPUTED_VALUE"""),"Plain")</f>
        <v>Plain</v>
      </c>
      <c r="O201" s="9" t="str">
        <f>IFERROR(__xludf.DUMMYFUNCTION("""COMPUTED_VALUE"""),"Carton")</f>
        <v>Carton</v>
      </c>
      <c r="P201" s="9">
        <f>IFERROR(__xludf.DUMMYFUNCTION("""COMPUTED_VALUE"""),1000.0)</f>
        <v>1000</v>
      </c>
      <c r="Q201" s="9" t="str">
        <f>IFERROR(__xludf.DUMMYFUNCTION("""COMPUTED_VALUE"""),"Q4'23")</f>
        <v>Q4'23</v>
      </c>
      <c r="R201" s="9">
        <f>IFERROR(__xludf.DUMMYFUNCTION("""COMPUTED_VALUE"""),0.9410087914140726)</f>
        <v>0.9410087914</v>
      </c>
    </row>
    <row r="202" ht="14.25" customHeight="1">
      <c r="A202" s="3" t="s">
        <v>23</v>
      </c>
      <c r="B202" s="3" t="s">
        <v>11</v>
      </c>
      <c r="C202" s="3" t="s">
        <v>27</v>
      </c>
      <c r="D202" s="3" t="s">
        <v>13</v>
      </c>
      <c r="E202" s="3" t="s">
        <v>14</v>
      </c>
      <c r="F202" s="3">
        <v>1000.0</v>
      </c>
      <c r="G202" s="4" t="s">
        <v>15</v>
      </c>
      <c r="H202" s="3">
        <v>0.9188561023696165</v>
      </c>
      <c r="K202" s="9" t="str">
        <f>IFERROR(__xludf.DUMMYFUNCTION("""COMPUTED_VALUE"""),"TT Off North")</f>
        <v>TT Off North</v>
      </c>
      <c r="L202" s="9" t="str">
        <f>IFERROR(__xludf.DUMMYFUNCTION("""COMPUTED_VALUE"""),"Elite")</f>
        <v>Elite</v>
      </c>
      <c r="M202" s="9" t="str">
        <f>IFERROR(__xludf.DUMMYFUNCTION("""COMPUTED_VALUE"""),"Unami Organic")</f>
        <v>Unami Organic</v>
      </c>
      <c r="N202" s="9" t="str">
        <f>IFERROR(__xludf.DUMMYFUNCTION("""COMPUTED_VALUE"""),"Sweetened")</f>
        <v>Sweetened</v>
      </c>
      <c r="O202" s="9" t="str">
        <f>IFERROR(__xludf.DUMMYFUNCTION("""COMPUTED_VALUE"""),"Carton")</f>
        <v>Carton</v>
      </c>
      <c r="P202" s="9">
        <f>IFERROR(__xludf.DUMMYFUNCTION("""COMPUTED_VALUE"""),1000.0)</f>
        <v>1000</v>
      </c>
      <c r="Q202" s="9" t="str">
        <f>IFERROR(__xludf.DUMMYFUNCTION("""COMPUTED_VALUE"""),"Q1'22")</f>
        <v>Q1'22</v>
      </c>
      <c r="R202" s="9">
        <f>IFERROR(__xludf.DUMMYFUNCTION("""COMPUTED_VALUE"""),1.5750308980869514)</f>
        <v>1.575030898</v>
      </c>
    </row>
    <row r="203" ht="14.25" customHeight="1">
      <c r="A203" s="3" t="s">
        <v>23</v>
      </c>
      <c r="B203" s="3" t="s">
        <v>11</v>
      </c>
      <c r="C203" s="3" t="s">
        <v>27</v>
      </c>
      <c r="D203" s="3" t="s">
        <v>13</v>
      </c>
      <c r="E203" s="3" t="s">
        <v>14</v>
      </c>
      <c r="F203" s="3">
        <v>1000.0</v>
      </c>
      <c r="G203" s="4" t="s">
        <v>16</v>
      </c>
      <c r="H203" s="3">
        <v>1.1606142496212402</v>
      </c>
      <c r="K203" s="9" t="str">
        <f>IFERROR(__xludf.DUMMYFUNCTION("""COMPUTED_VALUE"""),"TT Off North")</f>
        <v>TT Off North</v>
      </c>
      <c r="L203" s="9" t="str">
        <f>IFERROR(__xludf.DUMMYFUNCTION("""COMPUTED_VALUE"""),"Elite")</f>
        <v>Elite</v>
      </c>
      <c r="M203" s="9" t="str">
        <f>IFERROR(__xludf.DUMMYFUNCTION("""COMPUTED_VALUE"""),"Unami Organic")</f>
        <v>Unami Organic</v>
      </c>
      <c r="N203" s="9" t="str">
        <f>IFERROR(__xludf.DUMMYFUNCTION("""COMPUTED_VALUE"""),"Sweetened")</f>
        <v>Sweetened</v>
      </c>
      <c r="O203" s="9" t="str">
        <f>IFERROR(__xludf.DUMMYFUNCTION("""COMPUTED_VALUE"""),"Carton")</f>
        <v>Carton</v>
      </c>
      <c r="P203" s="9">
        <f>IFERROR(__xludf.DUMMYFUNCTION("""COMPUTED_VALUE"""),1000.0)</f>
        <v>1000</v>
      </c>
      <c r="Q203" s="9" t="str">
        <f>IFERROR(__xludf.DUMMYFUNCTION("""COMPUTED_VALUE"""),"Q2'22")</f>
        <v>Q2'22</v>
      </c>
      <c r="R203" s="9">
        <f>IFERROR(__xludf.DUMMYFUNCTION("""COMPUTED_VALUE"""),2.4565981284257257)</f>
        <v>2.456598128</v>
      </c>
    </row>
    <row r="204" ht="14.25" customHeight="1">
      <c r="A204" s="3" t="s">
        <v>23</v>
      </c>
      <c r="B204" s="3" t="s">
        <v>11</v>
      </c>
      <c r="C204" s="3" t="s">
        <v>27</v>
      </c>
      <c r="D204" s="3" t="s">
        <v>13</v>
      </c>
      <c r="E204" s="3" t="s">
        <v>14</v>
      </c>
      <c r="F204" s="3">
        <v>1000.0</v>
      </c>
      <c r="G204" s="4" t="s">
        <v>17</v>
      </c>
      <c r="H204" s="3">
        <v>1.1061938551258164</v>
      </c>
      <c r="K204" s="9" t="str">
        <f>IFERROR(__xludf.DUMMYFUNCTION("""COMPUTED_VALUE"""),"TT Off North")</f>
        <v>TT Off North</v>
      </c>
      <c r="L204" s="9" t="str">
        <f>IFERROR(__xludf.DUMMYFUNCTION("""COMPUTED_VALUE"""),"Elite")</f>
        <v>Elite</v>
      </c>
      <c r="M204" s="9" t="str">
        <f>IFERROR(__xludf.DUMMYFUNCTION("""COMPUTED_VALUE"""),"Unami Organic")</f>
        <v>Unami Organic</v>
      </c>
      <c r="N204" s="9" t="str">
        <f>IFERROR(__xludf.DUMMYFUNCTION("""COMPUTED_VALUE"""),"Sweetened")</f>
        <v>Sweetened</v>
      </c>
      <c r="O204" s="9" t="str">
        <f>IFERROR(__xludf.DUMMYFUNCTION("""COMPUTED_VALUE"""),"Carton")</f>
        <v>Carton</v>
      </c>
      <c r="P204" s="9">
        <f>IFERROR(__xludf.DUMMYFUNCTION("""COMPUTED_VALUE"""),1000.0)</f>
        <v>1000</v>
      </c>
      <c r="Q204" s="9" t="str">
        <f>IFERROR(__xludf.DUMMYFUNCTION("""COMPUTED_VALUE"""),"Q3'22")</f>
        <v>Q3'22</v>
      </c>
      <c r="R204" s="9">
        <f>IFERROR(__xludf.DUMMYFUNCTION("""COMPUTED_VALUE"""),2.1340869431996037)</f>
        <v>2.134086943</v>
      </c>
    </row>
    <row r="205" ht="14.25" customHeight="1">
      <c r="A205" s="3" t="s">
        <v>23</v>
      </c>
      <c r="B205" s="3" t="s">
        <v>11</v>
      </c>
      <c r="C205" s="3" t="s">
        <v>27</v>
      </c>
      <c r="D205" s="3" t="s">
        <v>13</v>
      </c>
      <c r="E205" s="3" t="s">
        <v>14</v>
      </c>
      <c r="F205" s="3">
        <v>1000.0</v>
      </c>
      <c r="G205" s="4" t="s">
        <v>18</v>
      </c>
      <c r="H205" s="3">
        <v>0.9419959498848024</v>
      </c>
      <c r="K205" s="9" t="str">
        <f>IFERROR(__xludf.DUMMYFUNCTION("""COMPUTED_VALUE"""),"TT Off North")</f>
        <v>TT Off North</v>
      </c>
      <c r="L205" s="9" t="str">
        <f>IFERROR(__xludf.DUMMYFUNCTION("""COMPUTED_VALUE"""),"Elite")</f>
        <v>Elite</v>
      </c>
      <c r="M205" s="9" t="str">
        <f>IFERROR(__xludf.DUMMYFUNCTION("""COMPUTED_VALUE"""),"Unami Organic")</f>
        <v>Unami Organic</v>
      </c>
      <c r="N205" s="9" t="str">
        <f>IFERROR(__xludf.DUMMYFUNCTION("""COMPUTED_VALUE"""),"Sweetened")</f>
        <v>Sweetened</v>
      </c>
      <c r="O205" s="9" t="str">
        <f>IFERROR(__xludf.DUMMYFUNCTION("""COMPUTED_VALUE"""),"Carton")</f>
        <v>Carton</v>
      </c>
      <c r="P205" s="9">
        <f>IFERROR(__xludf.DUMMYFUNCTION("""COMPUTED_VALUE"""),1000.0)</f>
        <v>1000</v>
      </c>
      <c r="Q205" s="9" t="str">
        <f>IFERROR(__xludf.DUMMYFUNCTION("""COMPUTED_VALUE"""),"Q4'22")</f>
        <v>Q4'22</v>
      </c>
      <c r="R205" s="9">
        <f>IFERROR(__xludf.DUMMYFUNCTION("""COMPUTED_VALUE"""),1.5432107553669856)</f>
        <v>1.543210755</v>
      </c>
    </row>
    <row r="206" ht="14.25" customHeight="1">
      <c r="A206" s="3" t="s">
        <v>23</v>
      </c>
      <c r="B206" s="3" t="s">
        <v>11</v>
      </c>
      <c r="C206" s="3" t="s">
        <v>27</v>
      </c>
      <c r="D206" s="3" t="s">
        <v>13</v>
      </c>
      <c r="E206" s="3" t="s">
        <v>14</v>
      </c>
      <c r="F206" s="3">
        <v>1000.0</v>
      </c>
      <c r="G206" s="4" t="s">
        <v>19</v>
      </c>
      <c r="H206" s="3">
        <v>0.8846364208640073</v>
      </c>
      <c r="K206" s="9" t="str">
        <f>IFERROR(__xludf.DUMMYFUNCTION("""COMPUTED_VALUE"""),"TT Off North")</f>
        <v>TT Off North</v>
      </c>
      <c r="L206" s="9" t="str">
        <f>IFERROR(__xludf.DUMMYFUNCTION("""COMPUTED_VALUE"""),"Elite")</f>
        <v>Elite</v>
      </c>
      <c r="M206" s="9" t="str">
        <f>IFERROR(__xludf.DUMMYFUNCTION("""COMPUTED_VALUE"""),"Unami Organic")</f>
        <v>Unami Organic</v>
      </c>
      <c r="N206" s="9" t="str">
        <f>IFERROR(__xludf.DUMMYFUNCTION("""COMPUTED_VALUE"""),"Sweetened")</f>
        <v>Sweetened</v>
      </c>
      <c r="O206" s="9" t="str">
        <f>IFERROR(__xludf.DUMMYFUNCTION("""COMPUTED_VALUE"""),"Carton")</f>
        <v>Carton</v>
      </c>
      <c r="P206" s="9">
        <f>IFERROR(__xludf.DUMMYFUNCTION("""COMPUTED_VALUE"""),1000.0)</f>
        <v>1000</v>
      </c>
      <c r="Q206" s="9" t="str">
        <f>IFERROR(__xludf.DUMMYFUNCTION("""COMPUTED_VALUE"""),"Q1'23")</f>
        <v>Q1'23</v>
      </c>
      <c r="R206" s="9">
        <f>IFERROR(__xludf.DUMMYFUNCTION("""COMPUTED_VALUE"""),1.5005638241066575)</f>
        <v>1.500563824</v>
      </c>
    </row>
    <row r="207" ht="14.25" customHeight="1">
      <c r="A207" s="3" t="s">
        <v>23</v>
      </c>
      <c r="B207" s="3" t="s">
        <v>11</v>
      </c>
      <c r="C207" s="3" t="s">
        <v>27</v>
      </c>
      <c r="D207" s="3" t="s">
        <v>13</v>
      </c>
      <c r="E207" s="3" t="s">
        <v>14</v>
      </c>
      <c r="F207" s="3">
        <v>1000.0</v>
      </c>
      <c r="G207" s="4" t="s">
        <v>20</v>
      </c>
      <c r="H207" s="3">
        <v>1.0202318242131998</v>
      </c>
      <c r="K207" s="9" t="str">
        <f>IFERROR(__xludf.DUMMYFUNCTION("""COMPUTED_VALUE"""),"TT Off North")</f>
        <v>TT Off North</v>
      </c>
      <c r="L207" s="9" t="str">
        <f>IFERROR(__xludf.DUMMYFUNCTION("""COMPUTED_VALUE"""),"Elite")</f>
        <v>Elite</v>
      </c>
      <c r="M207" s="9" t="str">
        <f>IFERROR(__xludf.DUMMYFUNCTION("""COMPUTED_VALUE"""),"Unami Organic")</f>
        <v>Unami Organic</v>
      </c>
      <c r="N207" s="9" t="str">
        <f>IFERROR(__xludf.DUMMYFUNCTION("""COMPUTED_VALUE"""),"Sweetened")</f>
        <v>Sweetened</v>
      </c>
      <c r="O207" s="9" t="str">
        <f>IFERROR(__xludf.DUMMYFUNCTION("""COMPUTED_VALUE"""),"Carton")</f>
        <v>Carton</v>
      </c>
      <c r="P207" s="9">
        <f>IFERROR(__xludf.DUMMYFUNCTION("""COMPUTED_VALUE"""),1000.0)</f>
        <v>1000</v>
      </c>
      <c r="Q207" s="9" t="str">
        <f>IFERROR(__xludf.DUMMYFUNCTION("""COMPUTED_VALUE"""),"Q2'23")</f>
        <v>Q2'23</v>
      </c>
      <c r="R207" s="9">
        <f>IFERROR(__xludf.DUMMYFUNCTION("""COMPUTED_VALUE"""),2.186576652430338)</f>
        <v>2.186576652</v>
      </c>
    </row>
    <row r="208" ht="14.25" customHeight="1">
      <c r="A208" s="3" t="s">
        <v>23</v>
      </c>
      <c r="B208" s="3" t="s">
        <v>11</v>
      </c>
      <c r="C208" s="3" t="s">
        <v>27</v>
      </c>
      <c r="D208" s="3" t="s">
        <v>13</v>
      </c>
      <c r="E208" s="3" t="s">
        <v>14</v>
      </c>
      <c r="F208" s="3">
        <v>1000.0</v>
      </c>
      <c r="G208" s="4" t="s">
        <v>21</v>
      </c>
      <c r="H208" s="3">
        <v>0.885029122700086</v>
      </c>
      <c r="K208" s="9" t="str">
        <f>IFERROR(__xludf.DUMMYFUNCTION("""COMPUTED_VALUE"""),"TT Off North")</f>
        <v>TT Off North</v>
      </c>
      <c r="L208" s="9" t="str">
        <f>IFERROR(__xludf.DUMMYFUNCTION("""COMPUTED_VALUE"""),"Elite")</f>
        <v>Elite</v>
      </c>
      <c r="M208" s="9" t="str">
        <f>IFERROR(__xludf.DUMMYFUNCTION("""COMPUTED_VALUE"""),"Unami Organic")</f>
        <v>Unami Organic</v>
      </c>
      <c r="N208" s="9" t="str">
        <f>IFERROR(__xludf.DUMMYFUNCTION("""COMPUTED_VALUE"""),"Sweetened")</f>
        <v>Sweetened</v>
      </c>
      <c r="O208" s="9" t="str">
        <f>IFERROR(__xludf.DUMMYFUNCTION("""COMPUTED_VALUE"""),"Carton")</f>
        <v>Carton</v>
      </c>
      <c r="P208" s="9">
        <f>IFERROR(__xludf.DUMMYFUNCTION("""COMPUTED_VALUE"""),1000.0)</f>
        <v>1000</v>
      </c>
      <c r="Q208" s="9" t="str">
        <f>IFERROR(__xludf.DUMMYFUNCTION("""COMPUTED_VALUE"""),"Q3'23")</f>
        <v>Q3'23</v>
      </c>
      <c r="R208" s="9">
        <f>IFERROR(__xludf.DUMMYFUNCTION("""COMPUTED_VALUE"""),1.7956346955750373)</f>
        <v>1.795634696</v>
      </c>
    </row>
    <row r="209" ht="14.25" customHeight="1">
      <c r="A209" s="3" t="s">
        <v>23</v>
      </c>
      <c r="B209" s="3" t="s">
        <v>11</v>
      </c>
      <c r="C209" s="3" t="s">
        <v>27</v>
      </c>
      <c r="D209" s="3" t="s">
        <v>13</v>
      </c>
      <c r="E209" s="3" t="s">
        <v>14</v>
      </c>
      <c r="F209" s="3">
        <v>1000.0</v>
      </c>
      <c r="G209" s="4" t="s">
        <v>22</v>
      </c>
      <c r="H209" s="3">
        <v>0.7583707980479895</v>
      </c>
      <c r="K209" s="9" t="str">
        <f>IFERROR(__xludf.DUMMYFUNCTION("""COMPUTED_VALUE"""),"TT Off North")</f>
        <v>TT Off North</v>
      </c>
      <c r="L209" s="9" t="str">
        <f>IFERROR(__xludf.DUMMYFUNCTION("""COMPUTED_VALUE"""),"Elite")</f>
        <v>Elite</v>
      </c>
      <c r="M209" s="9" t="str">
        <f>IFERROR(__xludf.DUMMYFUNCTION("""COMPUTED_VALUE"""),"Unami Organic")</f>
        <v>Unami Organic</v>
      </c>
      <c r="N209" s="9" t="str">
        <f>IFERROR(__xludf.DUMMYFUNCTION("""COMPUTED_VALUE"""),"Sweetened")</f>
        <v>Sweetened</v>
      </c>
      <c r="O209" s="9" t="str">
        <f>IFERROR(__xludf.DUMMYFUNCTION("""COMPUTED_VALUE"""),"Carton")</f>
        <v>Carton</v>
      </c>
      <c r="P209" s="9">
        <f>IFERROR(__xludf.DUMMYFUNCTION("""COMPUTED_VALUE"""),1000.0)</f>
        <v>1000</v>
      </c>
      <c r="Q209" s="9" t="str">
        <f>IFERROR(__xludf.DUMMYFUNCTION("""COMPUTED_VALUE"""),"Q4'23")</f>
        <v>Q4'23</v>
      </c>
      <c r="R209" s="9">
        <f>IFERROR(__xludf.DUMMYFUNCTION("""COMPUTED_VALUE"""),1.3160904796019475)</f>
        <v>1.31609048</v>
      </c>
    </row>
    <row r="210" ht="14.25" customHeight="1">
      <c r="A210" s="3" t="s">
        <v>23</v>
      </c>
      <c r="B210" s="3" t="s">
        <v>11</v>
      </c>
      <c r="C210" s="3" t="s">
        <v>27</v>
      </c>
      <c r="D210" s="3" t="s">
        <v>13</v>
      </c>
      <c r="E210" s="3" t="s">
        <v>14</v>
      </c>
      <c r="F210" s="3">
        <v>110.0</v>
      </c>
      <c r="G210" s="4" t="s">
        <v>15</v>
      </c>
      <c r="H210" s="3">
        <v>4.169842482740322</v>
      </c>
      <c r="K210" s="9" t="str">
        <f>IFERROR(__xludf.DUMMYFUNCTION("""COMPUTED_VALUE"""),"TT Off North")</f>
        <v>TT Off North</v>
      </c>
      <c r="L210" s="9" t="str">
        <f>IFERROR(__xludf.DUMMYFUNCTION("""COMPUTED_VALUE"""),"Elite")</f>
        <v>Elite</v>
      </c>
      <c r="M210" s="9" t="str">
        <f>IFERROR(__xludf.DUMMYFUNCTION("""COMPUTED_VALUE"""),"Unami Organic")</f>
        <v>Unami Organic</v>
      </c>
      <c r="N210" s="9" t="str">
        <f>IFERROR(__xludf.DUMMYFUNCTION("""COMPUTED_VALUE"""),"Sweetened")</f>
        <v>Sweetened</v>
      </c>
      <c r="O210" s="9" t="str">
        <f>IFERROR(__xludf.DUMMYFUNCTION("""COMPUTED_VALUE"""),"Carton")</f>
        <v>Carton</v>
      </c>
      <c r="P210" s="9">
        <f>IFERROR(__xludf.DUMMYFUNCTION("""COMPUTED_VALUE"""),110.0)</f>
        <v>110</v>
      </c>
      <c r="Q210" s="9" t="str">
        <f>IFERROR(__xludf.DUMMYFUNCTION("""COMPUTED_VALUE"""),"Q1'22")</f>
        <v>Q1'22</v>
      </c>
      <c r="R210" s="9">
        <f>IFERROR(__xludf.DUMMYFUNCTION("""COMPUTED_VALUE"""),3.1725202652491733)</f>
        <v>3.172520265</v>
      </c>
    </row>
    <row r="211" ht="14.25" customHeight="1">
      <c r="A211" s="3" t="s">
        <v>23</v>
      </c>
      <c r="B211" s="3" t="s">
        <v>11</v>
      </c>
      <c r="C211" s="3" t="s">
        <v>27</v>
      </c>
      <c r="D211" s="3" t="s">
        <v>13</v>
      </c>
      <c r="E211" s="3" t="s">
        <v>14</v>
      </c>
      <c r="F211" s="3">
        <v>110.0</v>
      </c>
      <c r="G211" s="4" t="s">
        <v>16</v>
      </c>
      <c r="H211" s="3">
        <v>4.297813331489582</v>
      </c>
      <c r="K211" s="9" t="str">
        <f>IFERROR(__xludf.DUMMYFUNCTION("""COMPUTED_VALUE"""),"TT Off North")</f>
        <v>TT Off North</v>
      </c>
      <c r="L211" s="9" t="str">
        <f>IFERROR(__xludf.DUMMYFUNCTION("""COMPUTED_VALUE"""),"Elite")</f>
        <v>Elite</v>
      </c>
      <c r="M211" s="9" t="str">
        <f>IFERROR(__xludf.DUMMYFUNCTION("""COMPUTED_VALUE"""),"Unami Organic")</f>
        <v>Unami Organic</v>
      </c>
      <c r="N211" s="9" t="str">
        <f>IFERROR(__xludf.DUMMYFUNCTION("""COMPUTED_VALUE"""),"Sweetened")</f>
        <v>Sweetened</v>
      </c>
      <c r="O211" s="9" t="str">
        <f>IFERROR(__xludf.DUMMYFUNCTION("""COMPUTED_VALUE"""),"Carton")</f>
        <v>Carton</v>
      </c>
      <c r="P211" s="9">
        <f>IFERROR(__xludf.DUMMYFUNCTION("""COMPUTED_VALUE"""),110.0)</f>
        <v>110</v>
      </c>
      <c r="Q211" s="9" t="str">
        <f>IFERROR(__xludf.DUMMYFUNCTION("""COMPUTED_VALUE"""),"Q2'22")</f>
        <v>Q2'22</v>
      </c>
      <c r="R211" s="9">
        <f>IFERROR(__xludf.DUMMYFUNCTION("""COMPUTED_VALUE"""),3.9097560330421866)</f>
        <v>3.909756033</v>
      </c>
    </row>
    <row r="212" ht="14.25" customHeight="1">
      <c r="A212" s="3" t="s">
        <v>23</v>
      </c>
      <c r="B212" s="3" t="s">
        <v>11</v>
      </c>
      <c r="C212" s="3" t="s">
        <v>27</v>
      </c>
      <c r="D212" s="3" t="s">
        <v>13</v>
      </c>
      <c r="E212" s="3" t="s">
        <v>14</v>
      </c>
      <c r="F212" s="3">
        <v>110.0</v>
      </c>
      <c r="G212" s="4" t="s">
        <v>17</v>
      </c>
      <c r="H212" s="3">
        <v>4.825615253153162</v>
      </c>
      <c r="K212" s="9" t="str">
        <f>IFERROR(__xludf.DUMMYFUNCTION("""COMPUTED_VALUE"""),"TT Off North")</f>
        <v>TT Off North</v>
      </c>
      <c r="L212" s="9" t="str">
        <f>IFERROR(__xludf.DUMMYFUNCTION("""COMPUTED_VALUE"""),"Elite")</f>
        <v>Elite</v>
      </c>
      <c r="M212" s="9" t="str">
        <f>IFERROR(__xludf.DUMMYFUNCTION("""COMPUTED_VALUE"""),"Unami Organic")</f>
        <v>Unami Organic</v>
      </c>
      <c r="N212" s="9" t="str">
        <f>IFERROR(__xludf.DUMMYFUNCTION("""COMPUTED_VALUE"""),"Sweetened")</f>
        <v>Sweetened</v>
      </c>
      <c r="O212" s="9" t="str">
        <f>IFERROR(__xludf.DUMMYFUNCTION("""COMPUTED_VALUE"""),"Carton")</f>
        <v>Carton</v>
      </c>
      <c r="P212" s="9">
        <f>IFERROR(__xludf.DUMMYFUNCTION("""COMPUTED_VALUE"""),110.0)</f>
        <v>110</v>
      </c>
      <c r="Q212" s="9" t="str">
        <f>IFERROR(__xludf.DUMMYFUNCTION("""COMPUTED_VALUE"""),"Q3'22")</f>
        <v>Q3'22</v>
      </c>
      <c r="R212" s="9">
        <f>IFERROR(__xludf.DUMMYFUNCTION("""COMPUTED_VALUE"""),4.138243654175463)</f>
        <v>4.138243654</v>
      </c>
    </row>
    <row r="213" ht="14.25" customHeight="1">
      <c r="A213" s="3" t="s">
        <v>23</v>
      </c>
      <c r="B213" s="3" t="s">
        <v>11</v>
      </c>
      <c r="C213" s="3" t="s">
        <v>27</v>
      </c>
      <c r="D213" s="3" t="s">
        <v>13</v>
      </c>
      <c r="E213" s="3" t="s">
        <v>14</v>
      </c>
      <c r="F213" s="3">
        <v>110.0</v>
      </c>
      <c r="G213" s="4" t="s">
        <v>18</v>
      </c>
      <c r="H213" s="3">
        <v>5.302736192154735</v>
      </c>
      <c r="K213" s="9" t="str">
        <f>IFERROR(__xludf.DUMMYFUNCTION("""COMPUTED_VALUE"""),"TT Off North")</f>
        <v>TT Off North</v>
      </c>
      <c r="L213" s="9" t="str">
        <f>IFERROR(__xludf.DUMMYFUNCTION("""COMPUTED_VALUE"""),"Elite")</f>
        <v>Elite</v>
      </c>
      <c r="M213" s="9" t="str">
        <f>IFERROR(__xludf.DUMMYFUNCTION("""COMPUTED_VALUE"""),"Unami Organic")</f>
        <v>Unami Organic</v>
      </c>
      <c r="N213" s="9" t="str">
        <f>IFERROR(__xludf.DUMMYFUNCTION("""COMPUTED_VALUE"""),"Sweetened")</f>
        <v>Sweetened</v>
      </c>
      <c r="O213" s="9" t="str">
        <f>IFERROR(__xludf.DUMMYFUNCTION("""COMPUTED_VALUE"""),"Carton")</f>
        <v>Carton</v>
      </c>
      <c r="P213" s="9">
        <f>IFERROR(__xludf.DUMMYFUNCTION("""COMPUTED_VALUE"""),110.0)</f>
        <v>110</v>
      </c>
      <c r="Q213" s="9" t="str">
        <f>IFERROR(__xludf.DUMMYFUNCTION("""COMPUTED_VALUE"""),"Q4'22")</f>
        <v>Q4'22</v>
      </c>
      <c r="R213" s="9">
        <f>IFERROR(__xludf.DUMMYFUNCTION("""COMPUTED_VALUE"""),3.8907376031436423)</f>
        <v>3.890737603</v>
      </c>
    </row>
    <row r="214" ht="14.25" customHeight="1">
      <c r="A214" s="3" t="s">
        <v>23</v>
      </c>
      <c r="B214" s="3" t="s">
        <v>11</v>
      </c>
      <c r="C214" s="3" t="s">
        <v>27</v>
      </c>
      <c r="D214" s="3" t="s">
        <v>13</v>
      </c>
      <c r="E214" s="3" t="s">
        <v>14</v>
      </c>
      <c r="F214" s="3">
        <v>110.0</v>
      </c>
      <c r="G214" s="4" t="s">
        <v>19</v>
      </c>
      <c r="H214" s="3">
        <v>5.3450012128123054</v>
      </c>
      <c r="K214" s="9" t="str">
        <f>IFERROR(__xludf.DUMMYFUNCTION("""COMPUTED_VALUE"""),"TT Off North")</f>
        <v>TT Off North</v>
      </c>
      <c r="L214" s="9" t="str">
        <f>IFERROR(__xludf.DUMMYFUNCTION("""COMPUTED_VALUE"""),"Elite")</f>
        <v>Elite</v>
      </c>
      <c r="M214" s="9" t="str">
        <f>IFERROR(__xludf.DUMMYFUNCTION("""COMPUTED_VALUE"""),"Unami Organic")</f>
        <v>Unami Organic</v>
      </c>
      <c r="N214" s="9" t="str">
        <f>IFERROR(__xludf.DUMMYFUNCTION("""COMPUTED_VALUE"""),"Sweetened")</f>
        <v>Sweetened</v>
      </c>
      <c r="O214" s="9" t="str">
        <f>IFERROR(__xludf.DUMMYFUNCTION("""COMPUTED_VALUE"""),"Carton")</f>
        <v>Carton</v>
      </c>
      <c r="P214" s="9">
        <f>IFERROR(__xludf.DUMMYFUNCTION("""COMPUTED_VALUE"""),110.0)</f>
        <v>110</v>
      </c>
      <c r="Q214" s="9" t="str">
        <f>IFERROR(__xludf.DUMMYFUNCTION("""COMPUTED_VALUE"""),"Q1'23")</f>
        <v>Q1'23</v>
      </c>
      <c r="R214" s="9">
        <f>IFERROR(__xludf.DUMMYFUNCTION("""COMPUTED_VALUE"""),4.151980191628631)</f>
        <v>4.151980192</v>
      </c>
    </row>
    <row r="215" ht="14.25" customHeight="1">
      <c r="A215" s="3" t="s">
        <v>23</v>
      </c>
      <c r="B215" s="3" t="s">
        <v>11</v>
      </c>
      <c r="C215" s="3" t="s">
        <v>27</v>
      </c>
      <c r="D215" s="3" t="s">
        <v>13</v>
      </c>
      <c r="E215" s="3" t="s">
        <v>14</v>
      </c>
      <c r="F215" s="3">
        <v>110.0</v>
      </c>
      <c r="G215" s="4" t="s">
        <v>20</v>
      </c>
      <c r="H215" s="3">
        <v>5.808329698575096</v>
      </c>
      <c r="K215" s="9" t="str">
        <f>IFERROR(__xludf.DUMMYFUNCTION("""COMPUTED_VALUE"""),"TT Off North")</f>
        <v>TT Off North</v>
      </c>
      <c r="L215" s="9" t="str">
        <f>IFERROR(__xludf.DUMMYFUNCTION("""COMPUTED_VALUE"""),"Elite")</f>
        <v>Elite</v>
      </c>
      <c r="M215" s="9" t="str">
        <f>IFERROR(__xludf.DUMMYFUNCTION("""COMPUTED_VALUE"""),"Unami Organic")</f>
        <v>Unami Organic</v>
      </c>
      <c r="N215" s="9" t="str">
        <f>IFERROR(__xludf.DUMMYFUNCTION("""COMPUTED_VALUE"""),"Sweetened")</f>
        <v>Sweetened</v>
      </c>
      <c r="O215" s="9" t="str">
        <f>IFERROR(__xludf.DUMMYFUNCTION("""COMPUTED_VALUE"""),"Carton")</f>
        <v>Carton</v>
      </c>
      <c r="P215" s="9">
        <f>IFERROR(__xludf.DUMMYFUNCTION("""COMPUTED_VALUE"""),110.0)</f>
        <v>110</v>
      </c>
      <c r="Q215" s="9" t="str">
        <f>IFERROR(__xludf.DUMMYFUNCTION("""COMPUTED_VALUE"""),"Q2'23")</f>
        <v>Q2'23</v>
      </c>
      <c r="R215" s="9">
        <f>IFERROR(__xludf.DUMMYFUNCTION("""COMPUTED_VALUE"""),4.441596089261197)</f>
        <v>4.441596089</v>
      </c>
    </row>
    <row r="216" ht="14.25" customHeight="1">
      <c r="A216" s="3" t="s">
        <v>23</v>
      </c>
      <c r="B216" s="3" t="s">
        <v>11</v>
      </c>
      <c r="C216" s="3" t="s">
        <v>27</v>
      </c>
      <c r="D216" s="3" t="s">
        <v>13</v>
      </c>
      <c r="E216" s="3" t="s">
        <v>14</v>
      </c>
      <c r="F216" s="3">
        <v>110.0</v>
      </c>
      <c r="G216" s="4" t="s">
        <v>21</v>
      </c>
      <c r="H216" s="3">
        <v>6.183820643054364</v>
      </c>
      <c r="K216" s="9" t="str">
        <f>IFERROR(__xludf.DUMMYFUNCTION("""COMPUTED_VALUE"""),"TT Off North")</f>
        <v>TT Off North</v>
      </c>
      <c r="L216" s="9" t="str">
        <f>IFERROR(__xludf.DUMMYFUNCTION("""COMPUTED_VALUE"""),"Elite")</f>
        <v>Elite</v>
      </c>
      <c r="M216" s="9" t="str">
        <f>IFERROR(__xludf.DUMMYFUNCTION("""COMPUTED_VALUE"""),"Unami Organic")</f>
        <v>Unami Organic</v>
      </c>
      <c r="N216" s="9" t="str">
        <f>IFERROR(__xludf.DUMMYFUNCTION("""COMPUTED_VALUE"""),"Sweetened")</f>
        <v>Sweetened</v>
      </c>
      <c r="O216" s="9" t="str">
        <f>IFERROR(__xludf.DUMMYFUNCTION("""COMPUTED_VALUE"""),"Carton")</f>
        <v>Carton</v>
      </c>
      <c r="P216" s="9">
        <f>IFERROR(__xludf.DUMMYFUNCTION("""COMPUTED_VALUE"""),110.0)</f>
        <v>110</v>
      </c>
      <c r="Q216" s="9" t="str">
        <f>IFERROR(__xludf.DUMMYFUNCTION("""COMPUTED_VALUE"""),"Q3'23")</f>
        <v>Q3'23</v>
      </c>
      <c r="R216" s="9">
        <f>IFERROR(__xludf.DUMMYFUNCTION("""COMPUTED_VALUE"""),4.484887799554911)</f>
        <v>4.4848878</v>
      </c>
    </row>
    <row r="217" ht="14.25" customHeight="1">
      <c r="A217" s="3" t="s">
        <v>23</v>
      </c>
      <c r="B217" s="3" t="s">
        <v>11</v>
      </c>
      <c r="C217" s="3" t="s">
        <v>27</v>
      </c>
      <c r="D217" s="3" t="s">
        <v>13</v>
      </c>
      <c r="E217" s="3" t="s">
        <v>14</v>
      </c>
      <c r="F217" s="3">
        <v>110.0</v>
      </c>
      <c r="G217" s="4" t="s">
        <v>22</v>
      </c>
      <c r="H217" s="3">
        <v>6.543916426080313</v>
      </c>
      <c r="K217" s="9" t="str">
        <f>IFERROR(__xludf.DUMMYFUNCTION("""COMPUTED_VALUE"""),"TT Off North")</f>
        <v>TT Off North</v>
      </c>
      <c r="L217" s="9" t="str">
        <f>IFERROR(__xludf.DUMMYFUNCTION("""COMPUTED_VALUE"""),"Elite")</f>
        <v>Elite</v>
      </c>
      <c r="M217" s="9" t="str">
        <f>IFERROR(__xludf.DUMMYFUNCTION("""COMPUTED_VALUE"""),"Unami Organic")</f>
        <v>Unami Organic</v>
      </c>
      <c r="N217" s="9" t="str">
        <f>IFERROR(__xludf.DUMMYFUNCTION("""COMPUTED_VALUE"""),"Sweetened")</f>
        <v>Sweetened</v>
      </c>
      <c r="O217" s="9" t="str">
        <f>IFERROR(__xludf.DUMMYFUNCTION("""COMPUTED_VALUE"""),"Carton")</f>
        <v>Carton</v>
      </c>
      <c r="P217" s="9">
        <f>IFERROR(__xludf.DUMMYFUNCTION("""COMPUTED_VALUE"""),110.0)</f>
        <v>110</v>
      </c>
      <c r="Q217" s="9" t="str">
        <f>IFERROR(__xludf.DUMMYFUNCTION("""COMPUTED_VALUE"""),"Q4'23")</f>
        <v>Q4'23</v>
      </c>
      <c r="R217" s="9">
        <f>IFERROR(__xludf.DUMMYFUNCTION("""COMPUTED_VALUE"""),5.4911753708662765)</f>
        <v>5.491175371</v>
      </c>
    </row>
    <row r="218" ht="14.25" customHeight="1">
      <c r="A218" s="3" t="s">
        <v>23</v>
      </c>
      <c r="B218" s="3" t="s">
        <v>11</v>
      </c>
      <c r="C218" s="3" t="s">
        <v>27</v>
      </c>
      <c r="D218" s="3" t="s">
        <v>13</v>
      </c>
      <c r="E218" s="3" t="s">
        <v>14</v>
      </c>
      <c r="F218" s="3">
        <v>180.0</v>
      </c>
      <c r="G218" s="4" t="s">
        <v>15</v>
      </c>
      <c r="H218" s="3">
        <v>6.538369919484478</v>
      </c>
      <c r="K218" s="9" t="str">
        <f>IFERROR(__xludf.DUMMYFUNCTION("""COMPUTED_VALUE"""),"TT Off North")</f>
        <v>TT Off North</v>
      </c>
      <c r="L218" s="9" t="str">
        <f>IFERROR(__xludf.DUMMYFUNCTION("""COMPUTED_VALUE"""),"Elite")</f>
        <v>Elite</v>
      </c>
      <c r="M218" s="9" t="str">
        <f>IFERROR(__xludf.DUMMYFUNCTION("""COMPUTED_VALUE"""),"Unami Organic")</f>
        <v>Unami Organic</v>
      </c>
      <c r="N218" s="9" t="str">
        <f>IFERROR(__xludf.DUMMYFUNCTION("""COMPUTED_VALUE"""),"Sweetened")</f>
        <v>Sweetened</v>
      </c>
      <c r="O218" s="9" t="str">
        <f>IFERROR(__xludf.DUMMYFUNCTION("""COMPUTED_VALUE"""),"Carton")</f>
        <v>Carton</v>
      </c>
      <c r="P218" s="9">
        <f>IFERROR(__xludf.DUMMYFUNCTION("""COMPUTED_VALUE"""),180.0)</f>
        <v>180</v>
      </c>
      <c r="Q218" s="9" t="str">
        <f>IFERROR(__xludf.DUMMYFUNCTION("""COMPUTED_VALUE"""),"Q1'22")</f>
        <v>Q1'22</v>
      </c>
      <c r="R218" s="9">
        <f>IFERROR(__xludf.DUMMYFUNCTION("""COMPUTED_VALUE"""),4.451487461635556)</f>
        <v>4.451487462</v>
      </c>
    </row>
    <row r="219" ht="14.25" customHeight="1">
      <c r="A219" s="3" t="s">
        <v>23</v>
      </c>
      <c r="B219" s="3" t="s">
        <v>11</v>
      </c>
      <c r="C219" s="3" t="s">
        <v>27</v>
      </c>
      <c r="D219" s="3" t="s">
        <v>13</v>
      </c>
      <c r="E219" s="3" t="s">
        <v>14</v>
      </c>
      <c r="F219" s="3">
        <v>180.0</v>
      </c>
      <c r="G219" s="4" t="s">
        <v>16</v>
      </c>
      <c r="H219" s="3">
        <v>6.574756140929875</v>
      </c>
      <c r="K219" s="9" t="str">
        <f>IFERROR(__xludf.DUMMYFUNCTION("""COMPUTED_VALUE"""),"TT Off North")</f>
        <v>TT Off North</v>
      </c>
      <c r="L219" s="9" t="str">
        <f>IFERROR(__xludf.DUMMYFUNCTION("""COMPUTED_VALUE"""),"Elite")</f>
        <v>Elite</v>
      </c>
      <c r="M219" s="9" t="str">
        <f>IFERROR(__xludf.DUMMYFUNCTION("""COMPUTED_VALUE"""),"Unami Organic")</f>
        <v>Unami Organic</v>
      </c>
      <c r="N219" s="9" t="str">
        <f>IFERROR(__xludf.DUMMYFUNCTION("""COMPUTED_VALUE"""),"Sweetened")</f>
        <v>Sweetened</v>
      </c>
      <c r="O219" s="9" t="str">
        <f>IFERROR(__xludf.DUMMYFUNCTION("""COMPUTED_VALUE"""),"Carton")</f>
        <v>Carton</v>
      </c>
      <c r="P219" s="9">
        <f>IFERROR(__xludf.DUMMYFUNCTION("""COMPUTED_VALUE"""),180.0)</f>
        <v>180</v>
      </c>
      <c r="Q219" s="9" t="str">
        <f>IFERROR(__xludf.DUMMYFUNCTION("""COMPUTED_VALUE"""),"Q2'22")</f>
        <v>Q2'22</v>
      </c>
      <c r="R219" s="9">
        <f>IFERROR(__xludf.DUMMYFUNCTION("""COMPUTED_VALUE"""),4.657111868649335)</f>
        <v>4.657111869</v>
      </c>
    </row>
    <row r="220" ht="14.25" customHeight="1">
      <c r="A220" s="3" t="s">
        <v>23</v>
      </c>
      <c r="B220" s="3" t="s">
        <v>11</v>
      </c>
      <c r="C220" s="3" t="s">
        <v>27</v>
      </c>
      <c r="D220" s="3" t="s">
        <v>13</v>
      </c>
      <c r="E220" s="3" t="s">
        <v>14</v>
      </c>
      <c r="F220" s="3">
        <v>180.0</v>
      </c>
      <c r="G220" s="4" t="s">
        <v>17</v>
      </c>
      <c r="H220" s="3">
        <v>7.346304697173739</v>
      </c>
      <c r="K220" s="9" t="str">
        <f>IFERROR(__xludf.DUMMYFUNCTION("""COMPUTED_VALUE"""),"TT Off North")</f>
        <v>TT Off North</v>
      </c>
      <c r="L220" s="9" t="str">
        <f>IFERROR(__xludf.DUMMYFUNCTION("""COMPUTED_VALUE"""),"Elite")</f>
        <v>Elite</v>
      </c>
      <c r="M220" s="9" t="str">
        <f>IFERROR(__xludf.DUMMYFUNCTION("""COMPUTED_VALUE"""),"Unami Organic")</f>
        <v>Unami Organic</v>
      </c>
      <c r="N220" s="9" t="str">
        <f>IFERROR(__xludf.DUMMYFUNCTION("""COMPUTED_VALUE"""),"Sweetened")</f>
        <v>Sweetened</v>
      </c>
      <c r="O220" s="9" t="str">
        <f>IFERROR(__xludf.DUMMYFUNCTION("""COMPUTED_VALUE"""),"Carton")</f>
        <v>Carton</v>
      </c>
      <c r="P220" s="9">
        <f>IFERROR(__xludf.DUMMYFUNCTION("""COMPUTED_VALUE"""),180.0)</f>
        <v>180</v>
      </c>
      <c r="Q220" s="9" t="str">
        <f>IFERROR(__xludf.DUMMYFUNCTION("""COMPUTED_VALUE"""),"Q3'22")</f>
        <v>Q3'22</v>
      </c>
      <c r="R220" s="9">
        <f>IFERROR(__xludf.DUMMYFUNCTION("""COMPUTED_VALUE"""),4.685425606660864)</f>
        <v>4.685425607</v>
      </c>
    </row>
    <row r="221" ht="14.25" customHeight="1">
      <c r="A221" s="3" t="s">
        <v>23</v>
      </c>
      <c r="B221" s="3" t="s">
        <v>11</v>
      </c>
      <c r="C221" s="3" t="s">
        <v>27</v>
      </c>
      <c r="D221" s="3" t="s">
        <v>13</v>
      </c>
      <c r="E221" s="3" t="s">
        <v>14</v>
      </c>
      <c r="F221" s="3">
        <v>180.0</v>
      </c>
      <c r="G221" s="4" t="s">
        <v>18</v>
      </c>
      <c r="H221" s="3">
        <v>7.684397755164231</v>
      </c>
      <c r="K221" s="9" t="str">
        <f>IFERROR(__xludf.DUMMYFUNCTION("""COMPUTED_VALUE"""),"TT Off North")</f>
        <v>TT Off North</v>
      </c>
      <c r="L221" s="9" t="str">
        <f>IFERROR(__xludf.DUMMYFUNCTION("""COMPUTED_VALUE"""),"Elite")</f>
        <v>Elite</v>
      </c>
      <c r="M221" s="9" t="str">
        <f>IFERROR(__xludf.DUMMYFUNCTION("""COMPUTED_VALUE"""),"Unami Organic")</f>
        <v>Unami Organic</v>
      </c>
      <c r="N221" s="9" t="str">
        <f>IFERROR(__xludf.DUMMYFUNCTION("""COMPUTED_VALUE"""),"Sweetened")</f>
        <v>Sweetened</v>
      </c>
      <c r="O221" s="9" t="str">
        <f>IFERROR(__xludf.DUMMYFUNCTION("""COMPUTED_VALUE"""),"Carton")</f>
        <v>Carton</v>
      </c>
      <c r="P221" s="9">
        <f>IFERROR(__xludf.DUMMYFUNCTION("""COMPUTED_VALUE"""),180.0)</f>
        <v>180</v>
      </c>
      <c r="Q221" s="9" t="str">
        <f>IFERROR(__xludf.DUMMYFUNCTION("""COMPUTED_VALUE"""),"Q4'22")</f>
        <v>Q4'22</v>
      </c>
      <c r="R221" s="9">
        <f>IFERROR(__xludf.DUMMYFUNCTION("""COMPUTED_VALUE"""),4.892160395388233)</f>
        <v>4.892160395</v>
      </c>
    </row>
    <row r="222" ht="14.25" customHeight="1">
      <c r="A222" s="3" t="s">
        <v>23</v>
      </c>
      <c r="B222" s="3" t="s">
        <v>11</v>
      </c>
      <c r="C222" s="3" t="s">
        <v>27</v>
      </c>
      <c r="D222" s="3" t="s">
        <v>13</v>
      </c>
      <c r="E222" s="3" t="s">
        <v>14</v>
      </c>
      <c r="F222" s="3">
        <v>180.0</v>
      </c>
      <c r="G222" s="4" t="s">
        <v>19</v>
      </c>
      <c r="H222" s="3">
        <v>7.816553991019076</v>
      </c>
      <c r="K222" s="9" t="str">
        <f>IFERROR(__xludf.DUMMYFUNCTION("""COMPUTED_VALUE"""),"TT Off North")</f>
        <v>TT Off North</v>
      </c>
      <c r="L222" s="9" t="str">
        <f>IFERROR(__xludf.DUMMYFUNCTION("""COMPUTED_VALUE"""),"Elite")</f>
        <v>Elite</v>
      </c>
      <c r="M222" s="9" t="str">
        <f>IFERROR(__xludf.DUMMYFUNCTION("""COMPUTED_VALUE"""),"Unami Organic")</f>
        <v>Unami Organic</v>
      </c>
      <c r="N222" s="9" t="str">
        <f>IFERROR(__xludf.DUMMYFUNCTION("""COMPUTED_VALUE"""),"Sweetened")</f>
        <v>Sweetened</v>
      </c>
      <c r="O222" s="9" t="str">
        <f>IFERROR(__xludf.DUMMYFUNCTION("""COMPUTED_VALUE"""),"Carton")</f>
        <v>Carton</v>
      </c>
      <c r="P222" s="9">
        <f>IFERROR(__xludf.DUMMYFUNCTION("""COMPUTED_VALUE"""),180.0)</f>
        <v>180</v>
      </c>
      <c r="Q222" s="9" t="str">
        <f>IFERROR(__xludf.DUMMYFUNCTION("""COMPUTED_VALUE"""),"Q1'23")</f>
        <v>Q1'23</v>
      </c>
      <c r="R222" s="9">
        <f>IFERROR(__xludf.DUMMYFUNCTION("""COMPUTED_VALUE"""),4.775770096575858)</f>
        <v>4.775770097</v>
      </c>
    </row>
    <row r="223" ht="14.25" customHeight="1">
      <c r="A223" s="3" t="s">
        <v>23</v>
      </c>
      <c r="B223" s="3" t="s">
        <v>11</v>
      </c>
      <c r="C223" s="3" t="s">
        <v>27</v>
      </c>
      <c r="D223" s="3" t="s">
        <v>13</v>
      </c>
      <c r="E223" s="3" t="s">
        <v>14</v>
      </c>
      <c r="F223" s="3">
        <v>180.0</v>
      </c>
      <c r="G223" s="4" t="s">
        <v>20</v>
      </c>
      <c r="H223" s="3">
        <v>8.314065231725898</v>
      </c>
      <c r="K223" s="9" t="str">
        <f>IFERROR(__xludf.DUMMYFUNCTION("""COMPUTED_VALUE"""),"TT Off North")</f>
        <v>TT Off North</v>
      </c>
      <c r="L223" s="9" t="str">
        <f>IFERROR(__xludf.DUMMYFUNCTION("""COMPUTED_VALUE"""),"Elite")</f>
        <v>Elite</v>
      </c>
      <c r="M223" s="9" t="str">
        <f>IFERROR(__xludf.DUMMYFUNCTION("""COMPUTED_VALUE"""),"Unami Organic")</f>
        <v>Unami Organic</v>
      </c>
      <c r="N223" s="9" t="str">
        <f>IFERROR(__xludf.DUMMYFUNCTION("""COMPUTED_VALUE"""),"Sweetened")</f>
        <v>Sweetened</v>
      </c>
      <c r="O223" s="9" t="str">
        <f>IFERROR(__xludf.DUMMYFUNCTION("""COMPUTED_VALUE"""),"Carton")</f>
        <v>Carton</v>
      </c>
      <c r="P223" s="9">
        <f>IFERROR(__xludf.DUMMYFUNCTION("""COMPUTED_VALUE"""),180.0)</f>
        <v>180</v>
      </c>
      <c r="Q223" s="9" t="str">
        <f>IFERROR(__xludf.DUMMYFUNCTION("""COMPUTED_VALUE"""),"Q2'23")</f>
        <v>Q2'23</v>
      </c>
      <c r="R223" s="9">
        <f>IFERROR(__xludf.DUMMYFUNCTION("""COMPUTED_VALUE"""),5.411492760634931)</f>
        <v>5.411492761</v>
      </c>
    </row>
    <row r="224" ht="14.25" customHeight="1">
      <c r="A224" s="3" t="s">
        <v>23</v>
      </c>
      <c r="B224" s="3" t="s">
        <v>11</v>
      </c>
      <c r="C224" s="3" t="s">
        <v>27</v>
      </c>
      <c r="D224" s="3" t="s">
        <v>13</v>
      </c>
      <c r="E224" s="3" t="s">
        <v>14</v>
      </c>
      <c r="F224" s="3">
        <v>180.0</v>
      </c>
      <c r="G224" s="4" t="s">
        <v>21</v>
      </c>
      <c r="H224" s="3">
        <v>8.655355272314246</v>
      </c>
      <c r="K224" s="9" t="str">
        <f>IFERROR(__xludf.DUMMYFUNCTION("""COMPUTED_VALUE"""),"TT Off North")</f>
        <v>TT Off North</v>
      </c>
      <c r="L224" s="9" t="str">
        <f>IFERROR(__xludf.DUMMYFUNCTION("""COMPUTED_VALUE"""),"Elite")</f>
        <v>Elite</v>
      </c>
      <c r="M224" s="9" t="str">
        <f>IFERROR(__xludf.DUMMYFUNCTION("""COMPUTED_VALUE"""),"Unami Organic")</f>
        <v>Unami Organic</v>
      </c>
      <c r="N224" s="9" t="str">
        <f>IFERROR(__xludf.DUMMYFUNCTION("""COMPUTED_VALUE"""),"Sweetened")</f>
        <v>Sweetened</v>
      </c>
      <c r="O224" s="9" t="str">
        <f>IFERROR(__xludf.DUMMYFUNCTION("""COMPUTED_VALUE"""),"Carton")</f>
        <v>Carton</v>
      </c>
      <c r="P224" s="9">
        <f>IFERROR(__xludf.DUMMYFUNCTION("""COMPUTED_VALUE"""),180.0)</f>
        <v>180</v>
      </c>
      <c r="Q224" s="9" t="str">
        <f>IFERROR(__xludf.DUMMYFUNCTION("""COMPUTED_VALUE"""),"Q3'23")</f>
        <v>Q3'23</v>
      </c>
      <c r="R224" s="9">
        <f>IFERROR(__xludf.DUMMYFUNCTION("""COMPUTED_VALUE"""),5.692885007055795)</f>
        <v>5.692885007</v>
      </c>
    </row>
    <row r="225" ht="14.25" customHeight="1">
      <c r="A225" s="3" t="s">
        <v>23</v>
      </c>
      <c r="B225" s="3" t="s">
        <v>11</v>
      </c>
      <c r="C225" s="3" t="s">
        <v>27</v>
      </c>
      <c r="D225" s="3" t="s">
        <v>13</v>
      </c>
      <c r="E225" s="3" t="s">
        <v>14</v>
      </c>
      <c r="F225" s="3">
        <v>180.0</v>
      </c>
      <c r="G225" s="4" t="s">
        <v>22</v>
      </c>
      <c r="H225" s="3">
        <v>9.15545763426594</v>
      </c>
      <c r="K225" s="9" t="str">
        <f>IFERROR(__xludf.DUMMYFUNCTION("""COMPUTED_VALUE"""),"TT Off North")</f>
        <v>TT Off North</v>
      </c>
      <c r="L225" s="9" t="str">
        <f>IFERROR(__xludf.DUMMYFUNCTION("""COMPUTED_VALUE"""),"Elite")</f>
        <v>Elite</v>
      </c>
      <c r="M225" s="9" t="str">
        <f>IFERROR(__xludf.DUMMYFUNCTION("""COMPUTED_VALUE"""),"Unami Organic")</f>
        <v>Unami Organic</v>
      </c>
      <c r="N225" s="9" t="str">
        <f>IFERROR(__xludf.DUMMYFUNCTION("""COMPUTED_VALUE"""),"Sweetened")</f>
        <v>Sweetened</v>
      </c>
      <c r="O225" s="9" t="str">
        <f>IFERROR(__xludf.DUMMYFUNCTION("""COMPUTED_VALUE"""),"Carton")</f>
        <v>Carton</v>
      </c>
      <c r="P225" s="9">
        <f>IFERROR(__xludf.DUMMYFUNCTION("""COMPUTED_VALUE"""),180.0)</f>
        <v>180</v>
      </c>
      <c r="Q225" s="9" t="str">
        <f>IFERROR(__xludf.DUMMYFUNCTION("""COMPUTED_VALUE"""),"Q4'23")</f>
        <v>Q4'23</v>
      </c>
      <c r="R225" s="9">
        <f>IFERROR(__xludf.DUMMYFUNCTION("""COMPUTED_VALUE"""),5.924334636932793)</f>
        <v>5.924334637</v>
      </c>
    </row>
    <row r="226" ht="14.25" customHeight="1">
      <c r="A226" s="3" t="s">
        <v>23</v>
      </c>
      <c r="B226" s="3" t="s">
        <v>11</v>
      </c>
      <c r="C226" s="3" t="s">
        <v>12</v>
      </c>
      <c r="D226" s="3" t="s">
        <v>28</v>
      </c>
      <c r="E226" s="3" t="s">
        <v>29</v>
      </c>
      <c r="F226" s="3">
        <v>220.0</v>
      </c>
      <c r="G226" s="4" t="s">
        <v>15</v>
      </c>
      <c r="H226" s="3">
        <v>1.5668351293858838</v>
      </c>
      <c r="K226" s="9" t="str">
        <f>IFERROR(__xludf.DUMMYFUNCTION("""COMPUTED_VALUE"""),"TT Off North")</f>
        <v>TT Off North</v>
      </c>
      <c r="L226" s="9" t="str">
        <f>IFERROR(__xludf.DUMMYFUNCTION("""COMPUTED_VALUE"""),"Elite")</f>
        <v>Elite</v>
      </c>
      <c r="M226" s="9" t="str">
        <f>IFERROR(__xludf.DUMMYFUNCTION("""COMPUTED_VALUE"""),"Unami")</f>
        <v>Unami</v>
      </c>
      <c r="N226" s="9" t="str">
        <f>IFERROR(__xludf.DUMMYFUNCTION("""COMPUTED_VALUE"""),"Chocolate")</f>
        <v>Chocolate</v>
      </c>
      <c r="O226" s="9" t="str">
        <f>IFERROR(__xludf.DUMMYFUNCTION("""COMPUTED_VALUE"""),"TFA")</f>
        <v>TFA</v>
      </c>
      <c r="P226" s="9">
        <f>IFERROR(__xludf.DUMMYFUNCTION("""COMPUTED_VALUE"""),220.0)</f>
        <v>220</v>
      </c>
      <c r="Q226" s="9" t="str">
        <f>IFERROR(__xludf.DUMMYFUNCTION("""COMPUTED_VALUE"""),"Q1'22")</f>
        <v>Q1'22</v>
      </c>
      <c r="R226" s="9">
        <f>IFERROR(__xludf.DUMMYFUNCTION("""COMPUTED_VALUE"""),1.3564780703892742E-5)</f>
        <v>0.0000135647807</v>
      </c>
    </row>
    <row r="227" ht="14.25" customHeight="1">
      <c r="A227" s="3" t="s">
        <v>23</v>
      </c>
      <c r="B227" s="3" t="s">
        <v>11</v>
      </c>
      <c r="C227" s="3" t="s">
        <v>12</v>
      </c>
      <c r="D227" s="3" t="s">
        <v>28</v>
      </c>
      <c r="E227" s="3" t="s">
        <v>29</v>
      </c>
      <c r="F227" s="3">
        <v>220.0</v>
      </c>
      <c r="G227" s="4" t="s">
        <v>16</v>
      </c>
      <c r="H227" s="3">
        <v>1.6575231150917413</v>
      </c>
      <c r="K227" s="9" t="str">
        <f>IFERROR(__xludf.DUMMYFUNCTION("""COMPUTED_VALUE"""),"TT Off North")</f>
        <v>TT Off North</v>
      </c>
      <c r="L227" s="9" t="str">
        <f>IFERROR(__xludf.DUMMYFUNCTION("""COMPUTED_VALUE"""),"Elite")</f>
        <v>Elite</v>
      </c>
      <c r="M227" s="9" t="str">
        <f>IFERROR(__xludf.DUMMYFUNCTION("""COMPUTED_VALUE"""),"Unami")</f>
        <v>Unami</v>
      </c>
      <c r="N227" s="9" t="str">
        <f>IFERROR(__xludf.DUMMYFUNCTION("""COMPUTED_VALUE"""),"Chocolate")</f>
        <v>Chocolate</v>
      </c>
      <c r="O227" s="9" t="str">
        <f>IFERROR(__xludf.DUMMYFUNCTION("""COMPUTED_VALUE"""),"TFA")</f>
        <v>TFA</v>
      </c>
      <c r="P227" s="9">
        <f>IFERROR(__xludf.DUMMYFUNCTION("""COMPUTED_VALUE"""),220.0)</f>
        <v>220</v>
      </c>
      <c r="Q227" s="9" t="str">
        <f>IFERROR(__xludf.DUMMYFUNCTION("""COMPUTED_VALUE"""),"Q2'22")</f>
        <v>Q2'22</v>
      </c>
      <c r="R227" s="9">
        <f>IFERROR(__xludf.DUMMYFUNCTION("""COMPUTED_VALUE"""),2.689403992633446E-5)</f>
        <v>0.00002689403993</v>
      </c>
    </row>
    <row r="228" ht="14.25" customHeight="1">
      <c r="A228" s="3" t="s">
        <v>23</v>
      </c>
      <c r="B228" s="3" t="s">
        <v>11</v>
      </c>
      <c r="C228" s="3" t="s">
        <v>12</v>
      </c>
      <c r="D228" s="3" t="s">
        <v>28</v>
      </c>
      <c r="E228" s="3" t="s">
        <v>29</v>
      </c>
      <c r="F228" s="3">
        <v>220.0</v>
      </c>
      <c r="G228" s="4" t="s">
        <v>17</v>
      </c>
      <c r="H228" s="3">
        <v>1.5735652997101421</v>
      </c>
      <c r="K228" s="9" t="str">
        <f>IFERROR(__xludf.DUMMYFUNCTION("""COMPUTED_VALUE"""),"TT Off North")</f>
        <v>TT Off North</v>
      </c>
      <c r="L228" s="9" t="str">
        <f>IFERROR(__xludf.DUMMYFUNCTION("""COMPUTED_VALUE"""),"Elite")</f>
        <v>Elite</v>
      </c>
      <c r="M228" s="9" t="str">
        <f>IFERROR(__xludf.DUMMYFUNCTION("""COMPUTED_VALUE"""),"Unami")</f>
        <v>Unami</v>
      </c>
      <c r="N228" s="9" t="str">
        <f>IFERROR(__xludf.DUMMYFUNCTION("""COMPUTED_VALUE"""),"Chocolate")</f>
        <v>Chocolate</v>
      </c>
      <c r="O228" s="9" t="str">
        <f>IFERROR(__xludf.DUMMYFUNCTION("""COMPUTED_VALUE"""),"TFA")</f>
        <v>TFA</v>
      </c>
      <c r="P228" s="9">
        <f>IFERROR(__xludf.DUMMYFUNCTION("""COMPUTED_VALUE"""),220.0)</f>
        <v>220</v>
      </c>
      <c r="Q228" s="9" t="str">
        <f>IFERROR(__xludf.DUMMYFUNCTION("""COMPUTED_VALUE"""),"Q3'22")</f>
        <v>Q3'22</v>
      </c>
      <c r="R228" s="9">
        <f>IFERROR(__xludf.DUMMYFUNCTION("""COMPUTED_VALUE"""),0.042192920116087176)</f>
        <v>0.04219292012</v>
      </c>
    </row>
    <row r="229" ht="14.25" customHeight="1">
      <c r="A229" s="3" t="s">
        <v>23</v>
      </c>
      <c r="B229" s="3" t="s">
        <v>11</v>
      </c>
      <c r="C229" s="3" t="s">
        <v>12</v>
      </c>
      <c r="D229" s="3" t="s">
        <v>28</v>
      </c>
      <c r="E229" s="3" t="s">
        <v>29</v>
      </c>
      <c r="F229" s="3">
        <v>220.0</v>
      </c>
      <c r="G229" s="4" t="s">
        <v>18</v>
      </c>
      <c r="H229" s="3">
        <v>1.7334337887236768</v>
      </c>
      <c r="K229" s="9" t="str">
        <f>IFERROR(__xludf.DUMMYFUNCTION("""COMPUTED_VALUE"""),"TT Off North")</f>
        <v>TT Off North</v>
      </c>
      <c r="L229" s="9" t="str">
        <f>IFERROR(__xludf.DUMMYFUNCTION("""COMPUTED_VALUE"""),"Elite")</f>
        <v>Elite</v>
      </c>
      <c r="M229" s="9" t="str">
        <f>IFERROR(__xludf.DUMMYFUNCTION("""COMPUTED_VALUE"""),"Unami")</f>
        <v>Unami</v>
      </c>
      <c r="N229" s="9" t="str">
        <f>IFERROR(__xludf.DUMMYFUNCTION("""COMPUTED_VALUE"""),"Chocolate")</f>
        <v>Chocolate</v>
      </c>
      <c r="O229" s="9" t="str">
        <f>IFERROR(__xludf.DUMMYFUNCTION("""COMPUTED_VALUE"""),"TFA")</f>
        <v>TFA</v>
      </c>
      <c r="P229" s="9">
        <f>IFERROR(__xludf.DUMMYFUNCTION("""COMPUTED_VALUE"""),220.0)</f>
        <v>220</v>
      </c>
      <c r="Q229" s="9" t="str">
        <f>IFERROR(__xludf.DUMMYFUNCTION("""COMPUTED_VALUE"""),"Q4'22")</f>
        <v>Q4'22</v>
      </c>
      <c r="R229" s="9">
        <f>IFERROR(__xludf.DUMMYFUNCTION("""COMPUTED_VALUE"""),0.390227100550007)</f>
        <v>0.3902271006</v>
      </c>
    </row>
    <row r="230" ht="14.25" customHeight="1">
      <c r="A230" s="3" t="s">
        <v>23</v>
      </c>
      <c r="B230" s="3" t="s">
        <v>11</v>
      </c>
      <c r="C230" s="3" t="s">
        <v>12</v>
      </c>
      <c r="D230" s="3" t="s">
        <v>28</v>
      </c>
      <c r="E230" s="3" t="s">
        <v>29</v>
      </c>
      <c r="F230" s="3">
        <v>220.0</v>
      </c>
      <c r="G230" s="4" t="s">
        <v>19</v>
      </c>
      <c r="H230" s="3">
        <v>1.6986007083709267</v>
      </c>
      <c r="K230" s="9" t="str">
        <f>IFERROR(__xludf.DUMMYFUNCTION("""COMPUTED_VALUE"""),"TT Off North")</f>
        <v>TT Off North</v>
      </c>
      <c r="L230" s="9" t="str">
        <f>IFERROR(__xludf.DUMMYFUNCTION("""COMPUTED_VALUE"""),"Elite")</f>
        <v>Elite</v>
      </c>
      <c r="M230" s="9" t="str">
        <f>IFERROR(__xludf.DUMMYFUNCTION("""COMPUTED_VALUE"""),"Unami")</f>
        <v>Unami</v>
      </c>
      <c r="N230" s="9" t="str">
        <f>IFERROR(__xludf.DUMMYFUNCTION("""COMPUTED_VALUE"""),"Chocolate")</f>
        <v>Chocolate</v>
      </c>
      <c r="O230" s="9" t="str">
        <f>IFERROR(__xludf.DUMMYFUNCTION("""COMPUTED_VALUE"""),"TFA")</f>
        <v>TFA</v>
      </c>
      <c r="P230" s="9">
        <f>IFERROR(__xludf.DUMMYFUNCTION("""COMPUTED_VALUE"""),220.0)</f>
        <v>220</v>
      </c>
      <c r="Q230" s="9" t="str">
        <f>IFERROR(__xludf.DUMMYFUNCTION("""COMPUTED_VALUE"""),"Q1'23")</f>
        <v>Q1'23</v>
      </c>
      <c r="R230" s="9">
        <f>IFERROR(__xludf.DUMMYFUNCTION("""COMPUTED_VALUE"""),0.5283418392053992)</f>
        <v>0.5283418392</v>
      </c>
    </row>
    <row r="231" ht="14.25" customHeight="1">
      <c r="A231" s="3" t="s">
        <v>23</v>
      </c>
      <c r="B231" s="3" t="s">
        <v>11</v>
      </c>
      <c r="C231" s="3" t="s">
        <v>12</v>
      </c>
      <c r="D231" s="3" t="s">
        <v>28</v>
      </c>
      <c r="E231" s="3" t="s">
        <v>29</v>
      </c>
      <c r="F231" s="3">
        <v>220.0</v>
      </c>
      <c r="G231" s="4" t="s">
        <v>20</v>
      </c>
      <c r="H231" s="3">
        <v>1.684319672436643</v>
      </c>
      <c r="K231" s="9" t="str">
        <f>IFERROR(__xludf.DUMMYFUNCTION("""COMPUTED_VALUE"""),"TT Off North")</f>
        <v>TT Off North</v>
      </c>
      <c r="L231" s="9" t="str">
        <f>IFERROR(__xludf.DUMMYFUNCTION("""COMPUTED_VALUE"""),"Elite")</f>
        <v>Elite</v>
      </c>
      <c r="M231" s="9" t="str">
        <f>IFERROR(__xludf.DUMMYFUNCTION("""COMPUTED_VALUE"""),"Unami")</f>
        <v>Unami</v>
      </c>
      <c r="N231" s="9" t="str">
        <f>IFERROR(__xludf.DUMMYFUNCTION("""COMPUTED_VALUE"""),"Chocolate")</f>
        <v>Chocolate</v>
      </c>
      <c r="O231" s="9" t="str">
        <f>IFERROR(__xludf.DUMMYFUNCTION("""COMPUTED_VALUE"""),"TFA")</f>
        <v>TFA</v>
      </c>
      <c r="P231" s="9">
        <f>IFERROR(__xludf.DUMMYFUNCTION("""COMPUTED_VALUE"""),220.0)</f>
        <v>220</v>
      </c>
      <c r="Q231" s="9" t="str">
        <f>IFERROR(__xludf.DUMMYFUNCTION("""COMPUTED_VALUE"""),"Q2'23")</f>
        <v>Q2'23</v>
      </c>
      <c r="R231" s="9">
        <f>IFERROR(__xludf.DUMMYFUNCTION("""COMPUTED_VALUE"""),0.6417869728641449)</f>
        <v>0.6417869729</v>
      </c>
    </row>
    <row r="232" ht="14.25" customHeight="1">
      <c r="A232" s="3" t="s">
        <v>23</v>
      </c>
      <c r="B232" s="3" t="s">
        <v>11</v>
      </c>
      <c r="C232" s="3" t="s">
        <v>12</v>
      </c>
      <c r="D232" s="3" t="s">
        <v>28</v>
      </c>
      <c r="E232" s="3" t="s">
        <v>29</v>
      </c>
      <c r="F232" s="3">
        <v>220.0</v>
      </c>
      <c r="G232" s="4" t="s">
        <v>21</v>
      </c>
      <c r="H232" s="3">
        <v>1.8001219854461596</v>
      </c>
      <c r="K232" s="9" t="str">
        <f>IFERROR(__xludf.DUMMYFUNCTION("""COMPUTED_VALUE"""),"TT Off North")</f>
        <v>TT Off North</v>
      </c>
      <c r="L232" s="9" t="str">
        <f>IFERROR(__xludf.DUMMYFUNCTION("""COMPUTED_VALUE"""),"Elite")</f>
        <v>Elite</v>
      </c>
      <c r="M232" s="9" t="str">
        <f>IFERROR(__xludf.DUMMYFUNCTION("""COMPUTED_VALUE"""),"Unami")</f>
        <v>Unami</v>
      </c>
      <c r="N232" s="9" t="str">
        <f>IFERROR(__xludf.DUMMYFUNCTION("""COMPUTED_VALUE"""),"Chocolate")</f>
        <v>Chocolate</v>
      </c>
      <c r="O232" s="9" t="str">
        <f>IFERROR(__xludf.DUMMYFUNCTION("""COMPUTED_VALUE"""),"TFA")</f>
        <v>TFA</v>
      </c>
      <c r="P232" s="9">
        <f>IFERROR(__xludf.DUMMYFUNCTION("""COMPUTED_VALUE"""),220.0)</f>
        <v>220</v>
      </c>
      <c r="Q232" s="9" t="str">
        <f>IFERROR(__xludf.DUMMYFUNCTION("""COMPUTED_VALUE"""),"Q3'23")</f>
        <v>Q3'23</v>
      </c>
      <c r="R232" s="9">
        <f>IFERROR(__xludf.DUMMYFUNCTION("""COMPUTED_VALUE"""),0.6384109987401674)</f>
        <v>0.6384109987</v>
      </c>
    </row>
    <row r="233" ht="14.25" customHeight="1">
      <c r="A233" s="3" t="s">
        <v>23</v>
      </c>
      <c r="B233" s="3" t="s">
        <v>11</v>
      </c>
      <c r="C233" s="3" t="s">
        <v>12</v>
      </c>
      <c r="D233" s="3" t="s">
        <v>28</v>
      </c>
      <c r="E233" s="3" t="s">
        <v>29</v>
      </c>
      <c r="F233" s="3">
        <v>220.0</v>
      </c>
      <c r="G233" s="4" t="s">
        <v>22</v>
      </c>
      <c r="H233" s="3">
        <v>1.7755466204408055</v>
      </c>
      <c r="K233" s="9" t="str">
        <f>IFERROR(__xludf.DUMMYFUNCTION("""COMPUTED_VALUE"""),"TT Off North")</f>
        <v>TT Off North</v>
      </c>
      <c r="L233" s="9" t="str">
        <f>IFERROR(__xludf.DUMMYFUNCTION("""COMPUTED_VALUE"""),"Elite")</f>
        <v>Elite</v>
      </c>
      <c r="M233" s="9" t="str">
        <f>IFERROR(__xludf.DUMMYFUNCTION("""COMPUTED_VALUE"""),"Unami")</f>
        <v>Unami</v>
      </c>
      <c r="N233" s="9" t="str">
        <f>IFERROR(__xludf.DUMMYFUNCTION("""COMPUTED_VALUE"""),"Chocolate")</f>
        <v>Chocolate</v>
      </c>
      <c r="O233" s="9" t="str">
        <f>IFERROR(__xludf.DUMMYFUNCTION("""COMPUTED_VALUE"""),"TFA")</f>
        <v>TFA</v>
      </c>
      <c r="P233" s="9">
        <f>IFERROR(__xludf.DUMMYFUNCTION("""COMPUTED_VALUE"""),220.0)</f>
        <v>220</v>
      </c>
      <c r="Q233" s="9" t="str">
        <f>IFERROR(__xludf.DUMMYFUNCTION("""COMPUTED_VALUE"""),"Q4'23")</f>
        <v>Q4'23</v>
      </c>
      <c r="R233" s="9">
        <f>IFERROR(__xludf.DUMMYFUNCTION("""COMPUTED_VALUE"""),0.5794101129868668)</f>
        <v>0.579410113</v>
      </c>
    </row>
    <row r="234" ht="14.25" customHeight="1">
      <c r="A234" s="3" t="s">
        <v>23</v>
      </c>
      <c r="B234" s="3" t="s">
        <v>11</v>
      </c>
      <c r="C234" s="3" t="s">
        <v>12</v>
      </c>
      <c r="D234" s="3" t="s">
        <v>30</v>
      </c>
      <c r="E234" s="3" t="s">
        <v>29</v>
      </c>
      <c r="F234" s="3">
        <v>220.0</v>
      </c>
      <c r="G234" s="4" t="s">
        <v>15</v>
      </c>
      <c r="H234" s="3">
        <v>4.083546802161642</v>
      </c>
      <c r="K234" s="9" t="str">
        <f>IFERROR(__xludf.DUMMYFUNCTION("""COMPUTED_VALUE"""),"TT Off North")</f>
        <v>TT Off North</v>
      </c>
      <c r="L234" s="9" t="str">
        <f>IFERROR(__xludf.DUMMYFUNCTION("""COMPUTED_VALUE"""),"Elite")</f>
        <v>Elite</v>
      </c>
      <c r="M234" s="9" t="str">
        <f>IFERROR(__xludf.DUMMYFUNCTION("""COMPUTED_VALUE"""),"Unami")</f>
        <v>Unami</v>
      </c>
      <c r="N234" s="9" t="str">
        <f>IFERROR(__xludf.DUMMYFUNCTION("""COMPUTED_VALUE"""),"Plain")</f>
        <v>Plain</v>
      </c>
      <c r="O234" s="9" t="str">
        <f>IFERROR(__xludf.DUMMYFUNCTION("""COMPUTED_VALUE"""),"TFA")</f>
        <v>TFA</v>
      </c>
      <c r="P234" s="9">
        <f>IFERROR(__xludf.DUMMYFUNCTION("""COMPUTED_VALUE"""),220.0)</f>
        <v>220</v>
      </c>
      <c r="Q234" s="9" t="str">
        <f>IFERROR(__xludf.DUMMYFUNCTION("""COMPUTED_VALUE"""),"Q2'22")</f>
        <v>Q2'22</v>
      </c>
      <c r="R234" s="9">
        <f>IFERROR(__xludf.DUMMYFUNCTION("""COMPUTED_VALUE"""),0.001258410076798484)</f>
        <v>0.001258410077</v>
      </c>
    </row>
    <row r="235" ht="14.25" customHeight="1">
      <c r="A235" s="3" t="s">
        <v>23</v>
      </c>
      <c r="B235" s="3" t="s">
        <v>11</v>
      </c>
      <c r="C235" s="3" t="s">
        <v>12</v>
      </c>
      <c r="D235" s="3" t="s">
        <v>30</v>
      </c>
      <c r="E235" s="3" t="s">
        <v>29</v>
      </c>
      <c r="F235" s="3">
        <v>220.0</v>
      </c>
      <c r="G235" s="4" t="s">
        <v>16</v>
      </c>
      <c r="H235" s="3">
        <v>4.111727535821417</v>
      </c>
      <c r="K235" s="9" t="str">
        <f>IFERROR(__xludf.DUMMYFUNCTION("""COMPUTED_VALUE"""),"TT Off North")</f>
        <v>TT Off North</v>
      </c>
      <c r="L235" s="9" t="str">
        <f>IFERROR(__xludf.DUMMYFUNCTION("""COMPUTED_VALUE"""),"Elite")</f>
        <v>Elite</v>
      </c>
      <c r="M235" s="9" t="str">
        <f>IFERROR(__xludf.DUMMYFUNCTION("""COMPUTED_VALUE"""),"Unami")</f>
        <v>Unami</v>
      </c>
      <c r="N235" s="9" t="str">
        <f>IFERROR(__xludf.DUMMYFUNCTION("""COMPUTED_VALUE"""),"Plain")</f>
        <v>Plain</v>
      </c>
      <c r="O235" s="9" t="str">
        <f>IFERROR(__xludf.DUMMYFUNCTION("""COMPUTED_VALUE"""),"TFA")</f>
        <v>TFA</v>
      </c>
      <c r="P235" s="9">
        <f>IFERROR(__xludf.DUMMYFUNCTION("""COMPUTED_VALUE"""),220.0)</f>
        <v>220</v>
      </c>
      <c r="Q235" s="9" t="str">
        <f>IFERROR(__xludf.DUMMYFUNCTION("""COMPUTED_VALUE"""),"Q3'22")</f>
        <v>Q3'22</v>
      </c>
      <c r="R235" s="9">
        <f>IFERROR(__xludf.DUMMYFUNCTION("""COMPUTED_VALUE"""),0.34672827772982545)</f>
        <v>0.3467282777</v>
      </c>
    </row>
    <row r="236" ht="14.25" customHeight="1">
      <c r="A236" s="3" t="s">
        <v>23</v>
      </c>
      <c r="B236" s="3" t="s">
        <v>11</v>
      </c>
      <c r="C236" s="3" t="s">
        <v>12</v>
      </c>
      <c r="D236" s="3" t="s">
        <v>30</v>
      </c>
      <c r="E236" s="3" t="s">
        <v>29</v>
      </c>
      <c r="F236" s="3">
        <v>220.0</v>
      </c>
      <c r="G236" s="4" t="s">
        <v>17</v>
      </c>
      <c r="H236" s="3">
        <v>4.100285103413858</v>
      </c>
      <c r="K236" s="9" t="str">
        <f>IFERROR(__xludf.DUMMYFUNCTION("""COMPUTED_VALUE"""),"TT Off North")</f>
        <v>TT Off North</v>
      </c>
      <c r="L236" s="9" t="str">
        <f>IFERROR(__xludf.DUMMYFUNCTION("""COMPUTED_VALUE"""),"Elite")</f>
        <v>Elite</v>
      </c>
      <c r="M236" s="9" t="str">
        <f>IFERROR(__xludf.DUMMYFUNCTION("""COMPUTED_VALUE"""),"Unami")</f>
        <v>Unami</v>
      </c>
      <c r="N236" s="9" t="str">
        <f>IFERROR(__xludf.DUMMYFUNCTION("""COMPUTED_VALUE"""),"Plain")</f>
        <v>Plain</v>
      </c>
      <c r="O236" s="9" t="str">
        <f>IFERROR(__xludf.DUMMYFUNCTION("""COMPUTED_VALUE"""),"TFA")</f>
        <v>TFA</v>
      </c>
      <c r="P236" s="9">
        <f>IFERROR(__xludf.DUMMYFUNCTION("""COMPUTED_VALUE"""),220.0)</f>
        <v>220</v>
      </c>
      <c r="Q236" s="9" t="str">
        <f>IFERROR(__xludf.DUMMYFUNCTION("""COMPUTED_VALUE"""),"Q4'22")</f>
        <v>Q4'22</v>
      </c>
      <c r="R236" s="9">
        <f>IFERROR(__xludf.DUMMYFUNCTION("""COMPUTED_VALUE"""),1.3246415785844852)</f>
        <v>1.324641579</v>
      </c>
    </row>
    <row r="237" ht="14.25" customHeight="1">
      <c r="A237" s="3" t="s">
        <v>23</v>
      </c>
      <c r="B237" s="3" t="s">
        <v>11</v>
      </c>
      <c r="C237" s="3" t="s">
        <v>12</v>
      </c>
      <c r="D237" s="3" t="s">
        <v>30</v>
      </c>
      <c r="E237" s="3" t="s">
        <v>29</v>
      </c>
      <c r="F237" s="3">
        <v>220.0</v>
      </c>
      <c r="G237" s="4" t="s">
        <v>18</v>
      </c>
      <c r="H237" s="3">
        <v>4.593234788882102</v>
      </c>
      <c r="K237" s="9" t="str">
        <f>IFERROR(__xludf.DUMMYFUNCTION("""COMPUTED_VALUE"""),"TT Off North")</f>
        <v>TT Off North</v>
      </c>
      <c r="L237" s="9" t="str">
        <f>IFERROR(__xludf.DUMMYFUNCTION("""COMPUTED_VALUE"""),"Elite")</f>
        <v>Elite</v>
      </c>
      <c r="M237" s="9" t="str">
        <f>IFERROR(__xludf.DUMMYFUNCTION("""COMPUTED_VALUE"""),"Unami")</f>
        <v>Unami</v>
      </c>
      <c r="N237" s="9" t="str">
        <f>IFERROR(__xludf.DUMMYFUNCTION("""COMPUTED_VALUE"""),"Plain")</f>
        <v>Plain</v>
      </c>
      <c r="O237" s="9" t="str">
        <f>IFERROR(__xludf.DUMMYFUNCTION("""COMPUTED_VALUE"""),"TFA")</f>
        <v>TFA</v>
      </c>
      <c r="P237" s="9">
        <f>IFERROR(__xludf.DUMMYFUNCTION("""COMPUTED_VALUE"""),220.0)</f>
        <v>220</v>
      </c>
      <c r="Q237" s="9" t="str">
        <f>IFERROR(__xludf.DUMMYFUNCTION("""COMPUTED_VALUE"""),"Q1'23")</f>
        <v>Q1'23</v>
      </c>
      <c r="R237" s="9">
        <f>IFERROR(__xludf.DUMMYFUNCTION("""COMPUTED_VALUE"""),1.3458438464733598)</f>
        <v>1.345843846</v>
      </c>
    </row>
    <row r="238" ht="14.25" customHeight="1">
      <c r="A238" s="3" t="s">
        <v>23</v>
      </c>
      <c r="B238" s="3" t="s">
        <v>11</v>
      </c>
      <c r="C238" s="3" t="s">
        <v>12</v>
      </c>
      <c r="D238" s="3" t="s">
        <v>30</v>
      </c>
      <c r="E238" s="3" t="s">
        <v>29</v>
      </c>
      <c r="F238" s="3">
        <v>220.0</v>
      </c>
      <c r="G238" s="4" t="s">
        <v>19</v>
      </c>
      <c r="H238" s="3">
        <v>4.524764007370345</v>
      </c>
      <c r="K238" s="9" t="str">
        <f>IFERROR(__xludf.DUMMYFUNCTION("""COMPUTED_VALUE"""),"TT Off North")</f>
        <v>TT Off North</v>
      </c>
      <c r="L238" s="9" t="str">
        <f>IFERROR(__xludf.DUMMYFUNCTION("""COMPUTED_VALUE"""),"Elite")</f>
        <v>Elite</v>
      </c>
      <c r="M238" s="9" t="str">
        <f>IFERROR(__xludf.DUMMYFUNCTION("""COMPUTED_VALUE"""),"Unami")</f>
        <v>Unami</v>
      </c>
      <c r="N238" s="9" t="str">
        <f>IFERROR(__xludf.DUMMYFUNCTION("""COMPUTED_VALUE"""),"Plain")</f>
        <v>Plain</v>
      </c>
      <c r="O238" s="9" t="str">
        <f>IFERROR(__xludf.DUMMYFUNCTION("""COMPUTED_VALUE"""),"TFA")</f>
        <v>TFA</v>
      </c>
      <c r="P238" s="9">
        <f>IFERROR(__xludf.DUMMYFUNCTION("""COMPUTED_VALUE"""),220.0)</f>
        <v>220</v>
      </c>
      <c r="Q238" s="9" t="str">
        <f>IFERROR(__xludf.DUMMYFUNCTION("""COMPUTED_VALUE"""),"Q2'23")</f>
        <v>Q2'23</v>
      </c>
      <c r="R238" s="9">
        <f>IFERROR(__xludf.DUMMYFUNCTION("""COMPUTED_VALUE"""),1.7084417001274004)</f>
        <v>1.7084417</v>
      </c>
    </row>
    <row r="239" ht="14.25" customHeight="1">
      <c r="A239" s="3" t="s">
        <v>23</v>
      </c>
      <c r="B239" s="3" t="s">
        <v>11</v>
      </c>
      <c r="C239" s="3" t="s">
        <v>12</v>
      </c>
      <c r="D239" s="3" t="s">
        <v>30</v>
      </c>
      <c r="E239" s="3" t="s">
        <v>29</v>
      </c>
      <c r="F239" s="3">
        <v>220.0</v>
      </c>
      <c r="G239" s="4" t="s">
        <v>20</v>
      </c>
      <c r="H239" s="3">
        <v>4.4618146193721175</v>
      </c>
      <c r="K239" s="9" t="str">
        <f>IFERROR(__xludf.DUMMYFUNCTION("""COMPUTED_VALUE"""),"TT Off North")</f>
        <v>TT Off North</v>
      </c>
      <c r="L239" s="9" t="str">
        <f>IFERROR(__xludf.DUMMYFUNCTION("""COMPUTED_VALUE"""),"Elite")</f>
        <v>Elite</v>
      </c>
      <c r="M239" s="9" t="str">
        <f>IFERROR(__xludf.DUMMYFUNCTION("""COMPUTED_VALUE"""),"Unami")</f>
        <v>Unami</v>
      </c>
      <c r="N239" s="9" t="str">
        <f>IFERROR(__xludf.DUMMYFUNCTION("""COMPUTED_VALUE"""),"Plain")</f>
        <v>Plain</v>
      </c>
      <c r="O239" s="9" t="str">
        <f>IFERROR(__xludf.DUMMYFUNCTION("""COMPUTED_VALUE"""),"TFA")</f>
        <v>TFA</v>
      </c>
      <c r="P239" s="9">
        <f>IFERROR(__xludf.DUMMYFUNCTION("""COMPUTED_VALUE"""),220.0)</f>
        <v>220</v>
      </c>
      <c r="Q239" s="9" t="str">
        <f>IFERROR(__xludf.DUMMYFUNCTION("""COMPUTED_VALUE"""),"Q3'23")</f>
        <v>Q3'23</v>
      </c>
      <c r="R239" s="9">
        <f>IFERROR(__xludf.DUMMYFUNCTION("""COMPUTED_VALUE"""),1.6500571007827707)</f>
        <v>1.650057101</v>
      </c>
    </row>
    <row r="240" ht="14.25" customHeight="1">
      <c r="A240" s="3" t="s">
        <v>23</v>
      </c>
      <c r="B240" s="3" t="s">
        <v>11</v>
      </c>
      <c r="C240" s="3" t="s">
        <v>12</v>
      </c>
      <c r="D240" s="3" t="s">
        <v>30</v>
      </c>
      <c r="E240" s="3" t="s">
        <v>29</v>
      </c>
      <c r="F240" s="3">
        <v>220.0</v>
      </c>
      <c r="G240" s="4" t="s">
        <v>21</v>
      </c>
      <c r="H240" s="3">
        <v>4.542666680341357</v>
      </c>
      <c r="K240" s="9" t="str">
        <f>IFERROR(__xludf.DUMMYFUNCTION("""COMPUTED_VALUE"""),"TT Off North")</f>
        <v>TT Off North</v>
      </c>
      <c r="L240" s="9" t="str">
        <f>IFERROR(__xludf.DUMMYFUNCTION("""COMPUTED_VALUE"""),"Elite")</f>
        <v>Elite</v>
      </c>
      <c r="M240" s="9" t="str">
        <f>IFERROR(__xludf.DUMMYFUNCTION("""COMPUTED_VALUE"""),"Unami")</f>
        <v>Unami</v>
      </c>
      <c r="N240" s="9" t="str">
        <f>IFERROR(__xludf.DUMMYFUNCTION("""COMPUTED_VALUE"""),"Plain")</f>
        <v>Plain</v>
      </c>
      <c r="O240" s="9" t="str">
        <f>IFERROR(__xludf.DUMMYFUNCTION("""COMPUTED_VALUE"""),"TFA")</f>
        <v>TFA</v>
      </c>
      <c r="P240" s="9">
        <f>IFERROR(__xludf.DUMMYFUNCTION("""COMPUTED_VALUE"""),220.0)</f>
        <v>220</v>
      </c>
      <c r="Q240" s="9" t="str">
        <f>IFERROR(__xludf.DUMMYFUNCTION("""COMPUTED_VALUE"""),"Q4'23")</f>
        <v>Q4'23</v>
      </c>
      <c r="R240" s="9">
        <f>IFERROR(__xludf.DUMMYFUNCTION("""COMPUTED_VALUE"""),1.348889978868678)</f>
        <v>1.348889979</v>
      </c>
    </row>
    <row r="241" ht="14.25" customHeight="1">
      <c r="A241" s="3" t="s">
        <v>23</v>
      </c>
      <c r="B241" s="3" t="s">
        <v>11</v>
      </c>
      <c r="C241" s="3" t="s">
        <v>12</v>
      </c>
      <c r="D241" s="3" t="s">
        <v>30</v>
      </c>
      <c r="E241" s="3" t="s">
        <v>29</v>
      </c>
      <c r="F241" s="3">
        <v>220.0</v>
      </c>
      <c r="G241" s="4" t="s">
        <v>22</v>
      </c>
      <c r="H241" s="3">
        <v>4.298147933321809</v>
      </c>
      <c r="K241" s="9" t="str">
        <f>IFERROR(__xludf.DUMMYFUNCTION("""COMPUTED_VALUE"""),"TT Off North")</f>
        <v>TT Off North</v>
      </c>
      <c r="L241" s="9" t="str">
        <f>IFERROR(__xludf.DUMMYFUNCTION("""COMPUTED_VALUE"""),"Elite")</f>
        <v>Elite</v>
      </c>
      <c r="M241" s="9" t="str">
        <f>IFERROR(__xludf.DUMMYFUNCTION("""COMPUTED_VALUE"""),"Unami")</f>
        <v>Unami</v>
      </c>
      <c r="N241" s="9" t="str">
        <f>IFERROR(__xludf.DUMMYFUNCTION("""COMPUTED_VALUE"""),"Strawberry")</f>
        <v>Strawberry</v>
      </c>
      <c r="O241" s="9" t="str">
        <f>IFERROR(__xludf.DUMMYFUNCTION("""COMPUTED_VALUE"""),"TFA")</f>
        <v>TFA</v>
      </c>
      <c r="P241" s="9">
        <f>IFERROR(__xludf.DUMMYFUNCTION("""COMPUTED_VALUE"""),220.0)</f>
        <v>220</v>
      </c>
      <c r="Q241" s="9" t="str">
        <f>IFERROR(__xludf.DUMMYFUNCTION("""COMPUTED_VALUE"""),"Q3'22")</f>
        <v>Q3'22</v>
      </c>
      <c r="R241" s="9">
        <f>IFERROR(__xludf.DUMMYFUNCTION("""COMPUTED_VALUE"""),0.04609882572590826)</f>
        <v>0.04609882573</v>
      </c>
    </row>
    <row r="242" ht="14.25" customHeight="1">
      <c r="A242" s="3" t="s">
        <v>23</v>
      </c>
      <c r="B242" s="3" t="s">
        <v>11</v>
      </c>
      <c r="C242" s="3" t="s">
        <v>12</v>
      </c>
      <c r="D242" s="3" t="s">
        <v>31</v>
      </c>
      <c r="E242" s="3" t="s">
        <v>29</v>
      </c>
      <c r="F242" s="3">
        <v>220.0</v>
      </c>
      <c r="G242" s="4" t="s">
        <v>15</v>
      </c>
      <c r="H242" s="3">
        <v>1.0544653241064805</v>
      </c>
      <c r="K242" s="9" t="str">
        <f>IFERROR(__xludf.DUMMYFUNCTION("""COMPUTED_VALUE"""),"TT Off North")</f>
        <v>TT Off North</v>
      </c>
      <c r="L242" s="9" t="str">
        <f>IFERROR(__xludf.DUMMYFUNCTION("""COMPUTED_VALUE"""),"Elite")</f>
        <v>Elite</v>
      </c>
      <c r="M242" s="9" t="str">
        <f>IFERROR(__xludf.DUMMYFUNCTION("""COMPUTED_VALUE"""),"Unami")</f>
        <v>Unami</v>
      </c>
      <c r="N242" s="9" t="str">
        <f>IFERROR(__xludf.DUMMYFUNCTION("""COMPUTED_VALUE"""),"Strawberry")</f>
        <v>Strawberry</v>
      </c>
      <c r="O242" s="9" t="str">
        <f>IFERROR(__xludf.DUMMYFUNCTION("""COMPUTED_VALUE"""),"TFA")</f>
        <v>TFA</v>
      </c>
      <c r="P242" s="9">
        <f>IFERROR(__xludf.DUMMYFUNCTION("""COMPUTED_VALUE"""),220.0)</f>
        <v>220</v>
      </c>
      <c r="Q242" s="9" t="str">
        <f>IFERROR(__xludf.DUMMYFUNCTION("""COMPUTED_VALUE"""),"Q4'22")</f>
        <v>Q4'22</v>
      </c>
      <c r="R242" s="9">
        <f>IFERROR(__xludf.DUMMYFUNCTION("""COMPUTED_VALUE"""),0.24806458761870423)</f>
        <v>0.2480645876</v>
      </c>
    </row>
    <row r="243" ht="14.25" customHeight="1">
      <c r="A243" s="3" t="s">
        <v>23</v>
      </c>
      <c r="B243" s="3" t="s">
        <v>11</v>
      </c>
      <c r="C243" s="3" t="s">
        <v>12</v>
      </c>
      <c r="D243" s="3" t="s">
        <v>31</v>
      </c>
      <c r="E243" s="3" t="s">
        <v>29</v>
      </c>
      <c r="F243" s="3">
        <v>220.0</v>
      </c>
      <c r="G243" s="4" t="s">
        <v>16</v>
      </c>
      <c r="H243" s="3">
        <v>1.1074587430436544</v>
      </c>
      <c r="K243" s="9" t="str">
        <f>IFERROR(__xludf.DUMMYFUNCTION("""COMPUTED_VALUE"""),"TT Off North")</f>
        <v>TT Off North</v>
      </c>
      <c r="L243" s="9" t="str">
        <f>IFERROR(__xludf.DUMMYFUNCTION("""COMPUTED_VALUE"""),"Elite")</f>
        <v>Elite</v>
      </c>
      <c r="M243" s="9" t="str">
        <f>IFERROR(__xludf.DUMMYFUNCTION("""COMPUTED_VALUE"""),"Unami")</f>
        <v>Unami</v>
      </c>
      <c r="N243" s="9" t="str">
        <f>IFERROR(__xludf.DUMMYFUNCTION("""COMPUTED_VALUE"""),"Strawberry")</f>
        <v>Strawberry</v>
      </c>
      <c r="O243" s="9" t="str">
        <f>IFERROR(__xludf.DUMMYFUNCTION("""COMPUTED_VALUE"""),"TFA")</f>
        <v>TFA</v>
      </c>
      <c r="P243" s="9">
        <f>IFERROR(__xludf.DUMMYFUNCTION("""COMPUTED_VALUE"""),220.0)</f>
        <v>220</v>
      </c>
      <c r="Q243" s="9" t="str">
        <f>IFERROR(__xludf.DUMMYFUNCTION("""COMPUTED_VALUE"""),"Q1'23")</f>
        <v>Q1'23</v>
      </c>
      <c r="R243" s="9">
        <f>IFERROR(__xludf.DUMMYFUNCTION("""COMPUTED_VALUE"""),0.2381851412759658)</f>
        <v>0.2381851413</v>
      </c>
    </row>
    <row r="244" ht="14.25" customHeight="1">
      <c r="A244" s="3" t="s">
        <v>23</v>
      </c>
      <c r="B244" s="3" t="s">
        <v>11</v>
      </c>
      <c r="C244" s="3" t="s">
        <v>12</v>
      </c>
      <c r="D244" s="3" t="s">
        <v>31</v>
      </c>
      <c r="E244" s="3" t="s">
        <v>29</v>
      </c>
      <c r="F244" s="3">
        <v>220.0</v>
      </c>
      <c r="G244" s="4" t="s">
        <v>17</v>
      </c>
      <c r="H244" s="3">
        <v>1.1075438877549295</v>
      </c>
      <c r="K244" s="9" t="str">
        <f>IFERROR(__xludf.DUMMYFUNCTION("""COMPUTED_VALUE"""),"TT Off North")</f>
        <v>TT Off North</v>
      </c>
      <c r="L244" s="9" t="str">
        <f>IFERROR(__xludf.DUMMYFUNCTION("""COMPUTED_VALUE"""),"Elite")</f>
        <v>Elite</v>
      </c>
      <c r="M244" s="9" t="str">
        <f>IFERROR(__xludf.DUMMYFUNCTION("""COMPUTED_VALUE"""),"Unami")</f>
        <v>Unami</v>
      </c>
      <c r="N244" s="9" t="str">
        <f>IFERROR(__xludf.DUMMYFUNCTION("""COMPUTED_VALUE"""),"Strawberry")</f>
        <v>Strawberry</v>
      </c>
      <c r="O244" s="9" t="str">
        <f>IFERROR(__xludf.DUMMYFUNCTION("""COMPUTED_VALUE"""),"TFA")</f>
        <v>TFA</v>
      </c>
      <c r="P244" s="9">
        <f>IFERROR(__xludf.DUMMYFUNCTION("""COMPUTED_VALUE"""),220.0)</f>
        <v>220</v>
      </c>
      <c r="Q244" s="9" t="str">
        <f>IFERROR(__xludf.DUMMYFUNCTION("""COMPUTED_VALUE"""),"Q2'23")</f>
        <v>Q2'23</v>
      </c>
      <c r="R244" s="9">
        <f>IFERROR(__xludf.DUMMYFUNCTION("""COMPUTED_VALUE"""),0.276486621889903)</f>
        <v>0.2764866219</v>
      </c>
    </row>
    <row r="245" ht="14.25" customHeight="1">
      <c r="A245" s="3" t="s">
        <v>23</v>
      </c>
      <c r="B245" s="3" t="s">
        <v>11</v>
      </c>
      <c r="C245" s="3" t="s">
        <v>12</v>
      </c>
      <c r="D245" s="3" t="s">
        <v>31</v>
      </c>
      <c r="E245" s="3" t="s">
        <v>29</v>
      </c>
      <c r="F245" s="3">
        <v>220.0</v>
      </c>
      <c r="G245" s="4" t="s">
        <v>18</v>
      </c>
      <c r="H245" s="3">
        <v>1.1829434876996074</v>
      </c>
      <c r="K245" s="9" t="str">
        <f>IFERROR(__xludf.DUMMYFUNCTION("""COMPUTED_VALUE"""),"TT Off North")</f>
        <v>TT Off North</v>
      </c>
      <c r="L245" s="9" t="str">
        <f>IFERROR(__xludf.DUMMYFUNCTION("""COMPUTED_VALUE"""),"Elite")</f>
        <v>Elite</v>
      </c>
      <c r="M245" s="9" t="str">
        <f>IFERROR(__xludf.DUMMYFUNCTION("""COMPUTED_VALUE"""),"Unami")</f>
        <v>Unami</v>
      </c>
      <c r="N245" s="9" t="str">
        <f>IFERROR(__xludf.DUMMYFUNCTION("""COMPUTED_VALUE"""),"Strawberry")</f>
        <v>Strawberry</v>
      </c>
      <c r="O245" s="9" t="str">
        <f>IFERROR(__xludf.DUMMYFUNCTION("""COMPUTED_VALUE"""),"TFA")</f>
        <v>TFA</v>
      </c>
      <c r="P245" s="9">
        <f>IFERROR(__xludf.DUMMYFUNCTION("""COMPUTED_VALUE"""),220.0)</f>
        <v>220</v>
      </c>
      <c r="Q245" s="9" t="str">
        <f>IFERROR(__xludf.DUMMYFUNCTION("""COMPUTED_VALUE"""),"Q3'23")</f>
        <v>Q3'23</v>
      </c>
      <c r="R245" s="9">
        <f>IFERROR(__xludf.DUMMYFUNCTION("""COMPUTED_VALUE"""),0.23372095018350703)</f>
        <v>0.2337209502</v>
      </c>
    </row>
    <row r="246" ht="14.25" customHeight="1">
      <c r="A246" s="3" t="s">
        <v>23</v>
      </c>
      <c r="B246" s="3" t="s">
        <v>11</v>
      </c>
      <c r="C246" s="3" t="s">
        <v>12</v>
      </c>
      <c r="D246" s="3" t="s">
        <v>31</v>
      </c>
      <c r="E246" s="3" t="s">
        <v>29</v>
      </c>
      <c r="F246" s="3">
        <v>220.0</v>
      </c>
      <c r="G246" s="4" t="s">
        <v>19</v>
      </c>
      <c r="H246" s="3">
        <v>1.2529776147033043</v>
      </c>
      <c r="K246" s="9" t="str">
        <f>IFERROR(__xludf.DUMMYFUNCTION("""COMPUTED_VALUE"""),"TT Off North")</f>
        <v>TT Off North</v>
      </c>
      <c r="L246" s="9" t="str">
        <f>IFERROR(__xludf.DUMMYFUNCTION("""COMPUTED_VALUE"""),"Elite")</f>
        <v>Elite</v>
      </c>
      <c r="M246" s="9" t="str">
        <f>IFERROR(__xludf.DUMMYFUNCTION("""COMPUTED_VALUE"""),"Unami")</f>
        <v>Unami</v>
      </c>
      <c r="N246" s="9" t="str">
        <f>IFERROR(__xludf.DUMMYFUNCTION("""COMPUTED_VALUE"""),"Strawberry")</f>
        <v>Strawberry</v>
      </c>
      <c r="O246" s="9" t="str">
        <f>IFERROR(__xludf.DUMMYFUNCTION("""COMPUTED_VALUE"""),"TFA")</f>
        <v>TFA</v>
      </c>
      <c r="P246" s="9">
        <f>IFERROR(__xludf.DUMMYFUNCTION("""COMPUTED_VALUE"""),220.0)</f>
        <v>220</v>
      </c>
      <c r="Q246" s="9" t="str">
        <f>IFERROR(__xludf.DUMMYFUNCTION("""COMPUTED_VALUE"""),"Q4'23")</f>
        <v>Q4'23</v>
      </c>
      <c r="R246" s="9">
        <f>IFERROR(__xludf.DUMMYFUNCTION("""COMPUTED_VALUE"""),0.24705006075656527)</f>
        <v>0.2470500608</v>
      </c>
    </row>
    <row r="247" ht="14.25" customHeight="1">
      <c r="A247" s="3" t="s">
        <v>23</v>
      </c>
      <c r="B247" s="3" t="s">
        <v>11</v>
      </c>
      <c r="C247" s="3" t="s">
        <v>12</v>
      </c>
      <c r="D247" s="3" t="s">
        <v>31</v>
      </c>
      <c r="E247" s="3" t="s">
        <v>29</v>
      </c>
      <c r="F247" s="3">
        <v>220.0</v>
      </c>
      <c r="G247" s="4" t="s">
        <v>20</v>
      </c>
      <c r="H247" s="3">
        <v>1.1314585374005541</v>
      </c>
      <c r="K247" s="9" t="str">
        <f>IFERROR(__xludf.DUMMYFUNCTION("""COMPUTED_VALUE"""),"TT Off North")</f>
        <v>TT Off North</v>
      </c>
      <c r="L247" s="9" t="str">
        <f>IFERROR(__xludf.DUMMYFUNCTION("""COMPUTED_VALUE"""),"Elite")</f>
        <v>Elite</v>
      </c>
      <c r="M247" s="9" t="str">
        <f>IFERROR(__xludf.DUMMYFUNCTION("""COMPUTED_VALUE"""),"Unami")</f>
        <v>Unami</v>
      </c>
      <c r="N247" s="9" t="str">
        <f>IFERROR(__xludf.DUMMYFUNCTION("""COMPUTED_VALUE"""),"Sweetened")</f>
        <v>Sweetened</v>
      </c>
      <c r="O247" s="9" t="str">
        <f>IFERROR(__xludf.DUMMYFUNCTION("""COMPUTED_VALUE"""),"Carton")</f>
        <v>Carton</v>
      </c>
      <c r="P247" s="9">
        <f>IFERROR(__xludf.DUMMYFUNCTION("""COMPUTED_VALUE"""),110.0)</f>
        <v>110</v>
      </c>
      <c r="Q247" s="9" t="str">
        <f>IFERROR(__xludf.DUMMYFUNCTION("""COMPUTED_VALUE"""),"Q1'22")</f>
        <v>Q1'22</v>
      </c>
      <c r="R247" s="9">
        <f>IFERROR(__xludf.DUMMYFUNCTION("""COMPUTED_VALUE"""),11.620646113139898)</f>
        <v>11.62064611</v>
      </c>
    </row>
    <row r="248" ht="14.25" customHeight="1">
      <c r="A248" s="3" t="s">
        <v>23</v>
      </c>
      <c r="B248" s="3" t="s">
        <v>11</v>
      </c>
      <c r="C248" s="3" t="s">
        <v>12</v>
      </c>
      <c r="D248" s="3" t="s">
        <v>31</v>
      </c>
      <c r="E248" s="3" t="s">
        <v>29</v>
      </c>
      <c r="F248" s="3">
        <v>220.0</v>
      </c>
      <c r="G248" s="4" t="s">
        <v>21</v>
      </c>
      <c r="H248" s="3">
        <v>1.1162246024180866</v>
      </c>
      <c r="K248" s="9" t="str">
        <f>IFERROR(__xludf.DUMMYFUNCTION("""COMPUTED_VALUE"""),"TT Off North")</f>
        <v>TT Off North</v>
      </c>
      <c r="L248" s="9" t="str">
        <f>IFERROR(__xludf.DUMMYFUNCTION("""COMPUTED_VALUE"""),"Elite")</f>
        <v>Elite</v>
      </c>
      <c r="M248" s="9" t="str">
        <f>IFERROR(__xludf.DUMMYFUNCTION("""COMPUTED_VALUE"""),"Unami")</f>
        <v>Unami</v>
      </c>
      <c r="N248" s="9" t="str">
        <f>IFERROR(__xludf.DUMMYFUNCTION("""COMPUTED_VALUE"""),"Sweetened")</f>
        <v>Sweetened</v>
      </c>
      <c r="O248" s="9" t="str">
        <f>IFERROR(__xludf.DUMMYFUNCTION("""COMPUTED_VALUE"""),"Carton")</f>
        <v>Carton</v>
      </c>
      <c r="P248" s="9">
        <f>IFERROR(__xludf.DUMMYFUNCTION("""COMPUTED_VALUE"""),110.0)</f>
        <v>110</v>
      </c>
      <c r="Q248" s="9" t="str">
        <f>IFERROR(__xludf.DUMMYFUNCTION("""COMPUTED_VALUE"""),"Q2'22")</f>
        <v>Q2'22</v>
      </c>
      <c r="R248" s="9">
        <f>IFERROR(__xludf.DUMMYFUNCTION("""COMPUTED_VALUE"""),11.694166097211173)</f>
        <v>11.6941661</v>
      </c>
    </row>
    <row r="249" ht="14.25" customHeight="1">
      <c r="A249" s="3" t="s">
        <v>23</v>
      </c>
      <c r="B249" s="3" t="s">
        <v>11</v>
      </c>
      <c r="C249" s="3" t="s">
        <v>12</v>
      </c>
      <c r="D249" s="3" t="s">
        <v>31</v>
      </c>
      <c r="E249" s="3" t="s">
        <v>29</v>
      </c>
      <c r="F249" s="3">
        <v>220.0</v>
      </c>
      <c r="G249" s="4" t="s">
        <v>22</v>
      </c>
      <c r="H249" s="3">
        <v>1.1007974543850432</v>
      </c>
      <c r="K249" s="9" t="str">
        <f>IFERROR(__xludf.DUMMYFUNCTION("""COMPUTED_VALUE"""),"TT Off North")</f>
        <v>TT Off North</v>
      </c>
      <c r="L249" s="9" t="str">
        <f>IFERROR(__xludf.DUMMYFUNCTION("""COMPUTED_VALUE"""),"Elite")</f>
        <v>Elite</v>
      </c>
      <c r="M249" s="9" t="str">
        <f>IFERROR(__xludf.DUMMYFUNCTION("""COMPUTED_VALUE"""),"Unami")</f>
        <v>Unami</v>
      </c>
      <c r="N249" s="9" t="str">
        <f>IFERROR(__xludf.DUMMYFUNCTION("""COMPUTED_VALUE"""),"Sweetened")</f>
        <v>Sweetened</v>
      </c>
      <c r="O249" s="9" t="str">
        <f>IFERROR(__xludf.DUMMYFUNCTION("""COMPUTED_VALUE"""),"Carton")</f>
        <v>Carton</v>
      </c>
      <c r="P249" s="9">
        <f>IFERROR(__xludf.DUMMYFUNCTION("""COMPUTED_VALUE"""),110.0)</f>
        <v>110</v>
      </c>
      <c r="Q249" s="9" t="str">
        <f>IFERROR(__xludf.DUMMYFUNCTION("""COMPUTED_VALUE"""),"Q3'22")</f>
        <v>Q3'22</v>
      </c>
      <c r="R249" s="9">
        <f>IFERROR(__xludf.DUMMYFUNCTION("""COMPUTED_VALUE"""),11.973059288484329)</f>
        <v>11.97305929</v>
      </c>
    </row>
    <row r="250" ht="14.25" customHeight="1">
      <c r="A250" s="3" t="s">
        <v>23</v>
      </c>
      <c r="B250" s="3" t="s">
        <v>11</v>
      </c>
      <c r="C250" s="3" t="s">
        <v>12</v>
      </c>
      <c r="D250" s="3" t="s">
        <v>13</v>
      </c>
      <c r="E250" s="3" t="s">
        <v>14</v>
      </c>
      <c r="F250" s="3">
        <v>110.0</v>
      </c>
      <c r="G250" s="4" t="s">
        <v>15</v>
      </c>
      <c r="H250" s="3">
        <v>5.841892390745359</v>
      </c>
      <c r="K250" s="9" t="str">
        <f>IFERROR(__xludf.DUMMYFUNCTION("""COMPUTED_VALUE"""),"TT Off North")</f>
        <v>TT Off North</v>
      </c>
      <c r="L250" s="9" t="str">
        <f>IFERROR(__xludf.DUMMYFUNCTION("""COMPUTED_VALUE"""),"Elite")</f>
        <v>Elite</v>
      </c>
      <c r="M250" s="9" t="str">
        <f>IFERROR(__xludf.DUMMYFUNCTION("""COMPUTED_VALUE"""),"Unami")</f>
        <v>Unami</v>
      </c>
      <c r="N250" s="9" t="str">
        <f>IFERROR(__xludf.DUMMYFUNCTION("""COMPUTED_VALUE"""),"Sweetened")</f>
        <v>Sweetened</v>
      </c>
      <c r="O250" s="9" t="str">
        <f>IFERROR(__xludf.DUMMYFUNCTION("""COMPUTED_VALUE"""),"Carton")</f>
        <v>Carton</v>
      </c>
      <c r="P250" s="9">
        <f>IFERROR(__xludf.DUMMYFUNCTION("""COMPUTED_VALUE"""),110.0)</f>
        <v>110</v>
      </c>
      <c r="Q250" s="9" t="str">
        <f>IFERROR(__xludf.DUMMYFUNCTION("""COMPUTED_VALUE"""),"Q4'22")</f>
        <v>Q4'22</v>
      </c>
      <c r="R250" s="9">
        <f>IFERROR(__xludf.DUMMYFUNCTION("""COMPUTED_VALUE"""),11.381115607387049)</f>
        <v>11.38111561</v>
      </c>
    </row>
    <row r="251" ht="14.25" customHeight="1">
      <c r="A251" s="3" t="s">
        <v>23</v>
      </c>
      <c r="B251" s="3" t="s">
        <v>11</v>
      </c>
      <c r="C251" s="3" t="s">
        <v>12</v>
      </c>
      <c r="D251" s="3" t="s">
        <v>13</v>
      </c>
      <c r="E251" s="3" t="s">
        <v>14</v>
      </c>
      <c r="F251" s="3">
        <v>110.0</v>
      </c>
      <c r="G251" s="4" t="s">
        <v>16</v>
      </c>
      <c r="H251" s="3">
        <v>5.27738408653814</v>
      </c>
      <c r="K251" s="9" t="str">
        <f>IFERROR(__xludf.DUMMYFUNCTION("""COMPUTED_VALUE"""),"TT Off North")</f>
        <v>TT Off North</v>
      </c>
      <c r="L251" s="9" t="str">
        <f>IFERROR(__xludf.DUMMYFUNCTION("""COMPUTED_VALUE"""),"Elite")</f>
        <v>Elite</v>
      </c>
      <c r="M251" s="9" t="str">
        <f>IFERROR(__xludf.DUMMYFUNCTION("""COMPUTED_VALUE"""),"Unami")</f>
        <v>Unami</v>
      </c>
      <c r="N251" s="9" t="str">
        <f>IFERROR(__xludf.DUMMYFUNCTION("""COMPUTED_VALUE"""),"Sweetened")</f>
        <v>Sweetened</v>
      </c>
      <c r="O251" s="9" t="str">
        <f>IFERROR(__xludf.DUMMYFUNCTION("""COMPUTED_VALUE"""),"Carton")</f>
        <v>Carton</v>
      </c>
      <c r="P251" s="9">
        <f>IFERROR(__xludf.DUMMYFUNCTION("""COMPUTED_VALUE"""),110.0)</f>
        <v>110</v>
      </c>
      <c r="Q251" s="9" t="str">
        <f>IFERROR(__xludf.DUMMYFUNCTION("""COMPUTED_VALUE"""),"Q1'23")</f>
        <v>Q1'23</v>
      </c>
      <c r="R251" s="9">
        <f>IFERROR(__xludf.DUMMYFUNCTION("""COMPUTED_VALUE"""),10.231927723220611)</f>
        <v>10.23192772</v>
      </c>
    </row>
    <row r="252" ht="14.25" customHeight="1">
      <c r="A252" s="3" t="s">
        <v>23</v>
      </c>
      <c r="B252" s="3" t="s">
        <v>11</v>
      </c>
      <c r="C252" s="3" t="s">
        <v>12</v>
      </c>
      <c r="D252" s="3" t="s">
        <v>13</v>
      </c>
      <c r="E252" s="3" t="s">
        <v>14</v>
      </c>
      <c r="F252" s="3">
        <v>110.0</v>
      </c>
      <c r="G252" s="4" t="s">
        <v>17</v>
      </c>
      <c r="H252" s="3">
        <v>5.527693847407575</v>
      </c>
      <c r="K252" s="9" t="str">
        <f>IFERROR(__xludf.DUMMYFUNCTION("""COMPUTED_VALUE"""),"TT Off North")</f>
        <v>TT Off North</v>
      </c>
      <c r="L252" s="9" t="str">
        <f>IFERROR(__xludf.DUMMYFUNCTION("""COMPUTED_VALUE"""),"Elite")</f>
        <v>Elite</v>
      </c>
      <c r="M252" s="9" t="str">
        <f>IFERROR(__xludf.DUMMYFUNCTION("""COMPUTED_VALUE"""),"Unami")</f>
        <v>Unami</v>
      </c>
      <c r="N252" s="9" t="str">
        <f>IFERROR(__xludf.DUMMYFUNCTION("""COMPUTED_VALUE"""),"Sweetened")</f>
        <v>Sweetened</v>
      </c>
      <c r="O252" s="9" t="str">
        <f>IFERROR(__xludf.DUMMYFUNCTION("""COMPUTED_VALUE"""),"Carton")</f>
        <v>Carton</v>
      </c>
      <c r="P252" s="9">
        <f>IFERROR(__xludf.DUMMYFUNCTION("""COMPUTED_VALUE"""),110.0)</f>
        <v>110</v>
      </c>
      <c r="Q252" s="9" t="str">
        <f>IFERROR(__xludf.DUMMYFUNCTION("""COMPUTED_VALUE"""),"Q2'23")</f>
        <v>Q2'23</v>
      </c>
      <c r="R252" s="9">
        <f>IFERROR(__xludf.DUMMYFUNCTION("""COMPUTED_VALUE"""),10.689826202612059)</f>
        <v>10.6898262</v>
      </c>
    </row>
    <row r="253" ht="14.25" customHeight="1">
      <c r="A253" s="3" t="s">
        <v>23</v>
      </c>
      <c r="B253" s="3" t="s">
        <v>11</v>
      </c>
      <c r="C253" s="3" t="s">
        <v>12</v>
      </c>
      <c r="D253" s="3" t="s">
        <v>13</v>
      </c>
      <c r="E253" s="3" t="s">
        <v>14</v>
      </c>
      <c r="F253" s="3">
        <v>110.0</v>
      </c>
      <c r="G253" s="4" t="s">
        <v>18</v>
      </c>
      <c r="H253" s="3">
        <v>5.419717348917484</v>
      </c>
      <c r="K253" s="9" t="str">
        <f>IFERROR(__xludf.DUMMYFUNCTION("""COMPUTED_VALUE"""),"TT Off North")</f>
        <v>TT Off North</v>
      </c>
      <c r="L253" s="9" t="str">
        <f>IFERROR(__xludf.DUMMYFUNCTION("""COMPUTED_VALUE"""),"Elite")</f>
        <v>Elite</v>
      </c>
      <c r="M253" s="9" t="str">
        <f>IFERROR(__xludf.DUMMYFUNCTION("""COMPUTED_VALUE"""),"Unami")</f>
        <v>Unami</v>
      </c>
      <c r="N253" s="9" t="str">
        <f>IFERROR(__xludf.DUMMYFUNCTION("""COMPUTED_VALUE"""),"Sweetened")</f>
        <v>Sweetened</v>
      </c>
      <c r="O253" s="9" t="str">
        <f>IFERROR(__xludf.DUMMYFUNCTION("""COMPUTED_VALUE"""),"Carton")</f>
        <v>Carton</v>
      </c>
      <c r="P253" s="9">
        <f>IFERROR(__xludf.DUMMYFUNCTION("""COMPUTED_VALUE"""),110.0)</f>
        <v>110</v>
      </c>
      <c r="Q253" s="9" t="str">
        <f>IFERROR(__xludf.DUMMYFUNCTION("""COMPUTED_VALUE"""),"Q3'23")</f>
        <v>Q3'23</v>
      </c>
      <c r="R253" s="9">
        <f>IFERROR(__xludf.DUMMYFUNCTION("""COMPUTED_VALUE"""),11.8551932803626)</f>
        <v>11.85519328</v>
      </c>
    </row>
    <row r="254" ht="14.25" customHeight="1">
      <c r="A254" s="3" t="s">
        <v>23</v>
      </c>
      <c r="B254" s="3" t="s">
        <v>11</v>
      </c>
      <c r="C254" s="3" t="s">
        <v>12</v>
      </c>
      <c r="D254" s="3" t="s">
        <v>13</v>
      </c>
      <c r="E254" s="3" t="s">
        <v>14</v>
      </c>
      <c r="F254" s="3">
        <v>110.0</v>
      </c>
      <c r="G254" s="4" t="s">
        <v>19</v>
      </c>
      <c r="H254" s="3">
        <v>4.883016423742669</v>
      </c>
      <c r="K254" s="9" t="str">
        <f>IFERROR(__xludf.DUMMYFUNCTION("""COMPUTED_VALUE"""),"TT Off North")</f>
        <v>TT Off North</v>
      </c>
      <c r="L254" s="9" t="str">
        <f>IFERROR(__xludf.DUMMYFUNCTION("""COMPUTED_VALUE"""),"Elite")</f>
        <v>Elite</v>
      </c>
      <c r="M254" s="9" t="str">
        <f>IFERROR(__xludf.DUMMYFUNCTION("""COMPUTED_VALUE"""),"Unami")</f>
        <v>Unami</v>
      </c>
      <c r="N254" s="9" t="str">
        <f>IFERROR(__xludf.DUMMYFUNCTION("""COMPUTED_VALUE"""),"Sweetened")</f>
        <v>Sweetened</v>
      </c>
      <c r="O254" s="9" t="str">
        <f>IFERROR(__xludf.DUMMYFUNCTION("""COMPUTED_VALUE"""),"Carton")</f>
        <v>Carton</v>
      </c>
      <c r="P254" s="9">
        <f>IFERROR(__xludf.DUMMYFUNCTION("""COMPUTED_VALUE"""),110.0)</f>
        <v>110</v>
      </c>
      <c r="Q254" s="9" t="str">
        <f>IFERROR(__xludf.DUMMYFUNCTION("""COMPUTED_VALUE"""),"Q4'23")</f>
        <v>Q4'23</v>
      </c>
      <c r="R254" s="9">
        <f>IFERROR(__xludf.DUMMYFUNCTION("""COMPUTED_VALUE"""),12.697007790706044)</f>
        <v>12.69700779</v>
      </c>
    </row>
    <row r="255" ht="14.25" customHeight="1">
      <c r="A255" s="3" t="s">
        <v>23</v>
      </c>
      <c r="B255" s="3" t="s">
        <v>11</v>
      </c>
      <c r="C255" s="3" t="s">
        <v>12</v>
      </c>
      <c r="D255" s="3" t="s">
        <v>13</v>
      </c>
      <c r="E255" s="3" t="s">
        <v>14</v>
      </c>
      <c r="F255" s="3">
        <v>110.0</v>
      </c>
      <c r="G255" s="4" t="s">
        <v>20</v>
      </c>
      <c r="H255" s="3">
        <v>4.681741018374144</v>
      </c>
      <c r="K255" s="9" t="str">
        <f>IFERROR(__xludf.DUMMYFUNCTION("""COMPUTED_VALUE"""),"TT Off North")</f>
        <v>TT Off North</v>
      </c>
      <c r="L255" s="9" t="str">
        <f>IFERROR(__xludf.DUMMYFUNCTION("""COMPUTED_VALUE"""),"Elite")</f>
        <v>Elite</v>
      </c>
      <c r="M255" s="9" t="str">
        <f>IFERROR(__xludf.DUMMYFUNCTION("""COMPUTED_VALUE"""),"Unami")</f>
        <v>Unami</v>
      </c>
      <c r="N255" s="9" t="str">
        <f>IFERROR(__xludf.DUMMYFUNCTION("""COMPUTED_VALUE"""),"Sweetened")</f>
        <v>Sweetened</v>
      </c>
      <c r="O255" s="9" t="str">
        <f>IFERROR(__xludf.DUMMYFUNCTION("""COMPUTED_VALUE"""),"Carton")</f>
        <v>Carton</v>
      </c>
      <c r="P255" s="9">
        <f>IFERROR(__xludf.DUMMYFUNCTION("""COMPUTED_VALUE"""),180.0)</f>
        <v>180</v>
      </c>
      <c r="Q255" s="9" t="str">
        <f>IFERROR(__xludf.DUMMYFUNCTION("""COMPUTED_VALUE"""),"Q1'22")</f>
        <v>Q1'22</v>
      </c>
      <c r="R255" s="9">
        <f>IFERROR(__xludf.DUMMYFUNCTION("""COMPUTED_VALUE"""),7.525729860448516)</f>
        <v>7.52572986</v>
      </c>
    </row>
    <row r="256" ht="14.25" customHeight="1">
      <c r="A256" s="3" t="s">
        <v>23</v>
      </c>
      <c r="B256" s="3" t="s">
        <v>11</v>
      </c>
      <c r="C256" s="3" t="s">
        <v>12</v>
      </c>
      <c r="D256" s="3" t="s">
        <v>13</v>
      </c>
      <c r="E256" s="3" t="s">
        <v>14</v>
      </c>
      <c r="F256" s="3">
        <v>110.0</v>
      </c>
      <c r="G256" s="4" t="s">
        <v>21</v>
      </c>
      <c r="H256" s="3">
        <v>4.871211843358225</v>
      </c>
      <c r="K256" s="9" t="str">
        <f>IFERROR(__xludf.DUMMYFUNCTION("""COMPUTED_VALUE"""),"TT Off North")</f>
        <v>TT Off North</v>
      </c>
      <c r="L256" s="9" t="str">
        <f>IFERROR(__xludf.DUMMYFUNCTION("""COMPUTED_VALUE"""),"Elite")</f>
        <v>Elite</v>
      </c>
      <c r="M256" s="9" t="str">
        <f>IFERROR(__xludf.DUMMYFUNCTION("""COMPUTED_VALUE"""),"Unami")</f>
        <v>Unami</v>
      </c>
      <c r="N256" s="9" t="str">
        <f>IFERROR(__xludf.DUMMYFUNCTION("""COMPUTED_VALUE"""),"Sweetened")</f>
        <v>Sweetened</v>
      </c>
      <c r="O256" s="9" t="str">
        <f>IFERROR(__xludf.DUMMYFUNCTION("""COMPUTED_VALUE"""),"Carton")</f>
        <v>Carton</v>
      </c>
      <c r="P256" s="9">
        <f>IFERROR(__xludf.DUMMYFUNCTION("""COMPUTED_VALUE"""),180.0)</f>
        <v>180</v>
      </c>
      <c r="Q256" s="9" t="str">
        <f>IFERROR(__xludf.DUMMYFUNCTION("""COMPUTED_VALUE"""),"Q2'22")</f>
        <v>Q2'22</v>
      </c>
      <c r="R256" s="9">
        <f>IFERROR(__xludf.DUMMYFUNCTION("""COMPUTED_VALUE"""),8.098675665396035)</f>
        <v>8.098675665</v>
      </c>
    </row>
    <row r="257" ht="14.25" customHeight="1">
      <c r="A257" s="3" t="s">
        <v>23</v>
      </c>
      <c r="B257" s="3" t="s">
        <v>11</v>
      </c>
      <c r="C257" s="3" t="s">
        <v>12</v>
      </c>
      <c r="D257" s="3" t="s">
        <v>13</v>
      </c>
      <c r="E257" s="3" t="s">
        <v>14</v>
      </c>
      <c r="F257" s="3">
        <v>110.0</v>
      </c>
      <c r="G257" s="4" t="s">
        <v>22</v>
      </c>
      <c r="H257" s="3">
        <v>4.7948636229461545</v>
      </c>
      <c r="K257" s="9" t="str">
        <f>IFERROR(__xludf.DUMMYFUNCTION("""COMPUTED_VALUE"""),"TT Off North")</f>
        <v>TT Off North</v>
      </c>
      <c r="L257" s="9" t="str">
        <f>IFERROR(__xludf.DUMMYFUNCTION("""COMPUTED_VALUE"""),"Elite")</f>
        <v>Elite</v>
      </c>
      <c r="M257" s="9" t="str">
        <f>IFERROR(__xludf.DUMMYFUNCTION("""COMPUTED_VALUE"""),"Unami")</f>
        <v>Unami</v>
      </c>
      <c r="N257" s="9" t="str">
        <f>IFERROR(__xludf.DUMMYFUNCTION("""COMPUTED_VALUE"""),"Sweetened")</f>
        <v>Sweetened</v>
      </c>
      <c r="O257" s="9" t="str">
        <f>IFERROR(__xludf.DUMMYFUNCTION("""COMPUTED_VALUE"""),"Carton")</f>
        <v>Carton</v>
      </c>
      <c r="P257" s="9">
        <f>IFERROR(__xludf.DUMMYFUNCTION("""COMPUTED_VALUE"""),180.0)</f>
        <v>180</v>
      </c>
      <c r="Q257" s="9" t="str">
        <f>IFERROR(__xludf.DUMMYFUNCTION("""COMPUTED_VALUE"""),"Q3'22")</f>
        <v>Q3'22</v>
      </c>
      <c r="R257" s="9">
        <f>IFERROR(__xludf.DUMMYFUNCTION("""COMPUTED_VALUE"""),8.131879581565931)</f>
        <v>8.131879582</v>
      </c>
    </row>
    <row r="258" ht="14.25" customHeight="1">
      <c r="A258" s="3" t="s">
        <v>23</v>
      </c>
      <c r="B258" s="3" t="s">
        <v>11</v>
      </c>
      <c r="C258" s="3" t="s">
        <v>12</v>
      </c>
      <c r="D258" s="3" t="s">
        <v>13</v>
      </c>
      <c r="E258" s="3" t="s">
        <v>14</v>
      </c>
      <c r="F258" s="3">
        <v>180.0</v>
      </c>
      <c r="G258" s="4" t="s">
        <v>15</v>
      </c>
      <c r="H258" s="3">
        <v>5.53262047545477</v>
      </c>
      <c r="K258" s="9" t="str">
        <f>IFERROR(__xludf.DUMMYFUNCTION("""COMPUTED_VALUE"""),"TT Off North")</f>
        <v>TT Off North</v>
      </c>
      <c r="L258" s="9" t="str">
        <f>IFERROR(__xludf.DUMMYFUNCTION("""COMPUTED_VALUE"""),"Elite")</f>
        <v>Elite</v>
      </c>
      <c r="M258" s="9" t="str">
        <f>IFERROR(__xludf.DUMMYFUNCTION("""COMPUTED_VALUE"""),"Unami")</f>
        <v>Unami</v>
      </c>
      <c r="N258" s="9" t="str">
        <f>IFERROR(__xludf.DUMMYFUNCTION("""COMPUTED_VALUE"""),"Sweetened")</f>
        <v>Sweetened</v>
      </c>
      <c r="O258" s="9" t="str">
        <f>IFERROR(__xludf.DUMMYFUNCTION("""COMPUTED_VALUE"""),"Carton")</f>
        <v>Carton</v>
      </c>
      <c r="P258" s="9">
        <f>IFERROR(__xludf.DUMMYFUNCTION("""COMPUTED_VALUE"""),180.0)</f>
        <v>180</v>
      </c>
      <c r="Q258" s="9" t="str">
        <f>IFERROR(__xludf.DUMMYFUNCTION("""COMPUTED_VALUE"""),"Q4'22")</f>
        <v>Q4'22</v>
      </c>
      <c r="R258" s="9">
        <f>IFERROR(__xludf.DUMMYFUNCTION("""COMPUTED_VALUE"""),6.626850479008864)</f>
        <v>6.626850479</v>
      </c>
    </row>
    <row r="259" ht="14.25" customHeight="1">
      <c r="A259" s="3" t="s">
        <v>23</v>
      </c>
      <c r="B259" s="3" t="s">
        <v>11</v>
      </c>
      <c r="C259" s="3" t="s">
        <v>12</v>
      </c>
      <c r="D259" s="3" t="s">
        <v>13</v>
      </c>
      <c r="E259" s="3" t="s">
        <v>14</v>
      </c>
      <c r="F259" s="3">
        <v>180.0</v>
      </c>
      <c r="G259" s="4" t="s">
        <v>16</v>
      </c>
      <c r="H259" s="3">
        <v>5.3717748721510095</v>
      </c>
      <c r="K259" s="9" t="str">
        <f>IFERROR(__xludf.DUMMYFUNCTION("""COMPUTED_VALUE"""),"TT Off North")</f>
        <v>TT Off North</v>
      </c>
      <c r="L259" s="9" t="str">
        <f>IFERROR(__xludf.DUMMYFUNCTION("""COMPUTED_VALUE"""),"Elite")</f>
        <v>Elite</v>
      </c>
      <c r="M259" s="9" t="str">
        <f>IFERROR(__xludf.DUMMYFUNCTION("""COMPUTED_VALUE"""),"Unami")</f>
        <v>Unami</v>
      </c>
      <c r="N259" s="9" t="str">
        <f>IFERROR(__xludf.DUMMYFUNCTION("""COMPUTED_VALUE"""),"Sweetened")</f>
        <v>Sweetened</v>
      </c>
      <c r="O259" s="9" t="str">
        <f>IFERROR(__xludf.DUMMYFUNCTION("""COMPUTED_VALUE"""),"Carton")</f>
        <v>Carton</v>
      </c>
      <c r="P259" s="9">
        <f>IFERROR(__xludf.DUMMYFUNCTION("""COMPUTED_VALUE"""),180.0)</f>
        <v>180</v>
      </c>
      <c r="Q259" s="9" t="str">
        <f>IFERROR(__xludf.DUMMYFUNCTION("""COMPUTED_VALUE"""),"Q1'23")</f>
        <v>Q1'23</v>
      </c>
      <c r="R259" s="9">
        <f>IFERROR(__xludf.DUMMYFUNCTION("""COMPUTED_VALUE"""),6.442293935231539)</f>
        <v>6.442293935</v>
      </c>
    </row>
    <row r="260" ht="14.25" customHeight="1">
      <c r="A260" s="3" t="s">
        <v>23</v>
      </c>
      <c r="B260" s="3" t="s">
        <v>11</v>
      </c>
      <c r="C260" s="3" t="s">
        <v>12</v>
      </c>
      <c r="D260" s="3" t="s">
        <v>13</v>
      </c>
      <c r="E260" s="3" t="s">
        <v>14</v>
      </c>
      <c r="F260" s="3">
        <v>180.0</v>
      </c>
      <c r="G260" s="4" t="s">
        <v>17</v>
      </c>
      <c r="H260" s="3">
        <v>5.458081409356405</v>
      </c>
      <c r="K260" s="9" t="str">
        <f>IFERROR(__xludf.DUMMYFUNCTION("""COMPUTED_VALUE"""),"TT Off North")</f>
        <v>TT Off North</v>
      </c>
      <c r="L260" s="9" t="str">
        <f>IFERROR(__xludf.DUMMYFUNCTION("""COMPUTED_VALUE"""),"Elite")</f>
        <v>Elite</v>
      </c>
      <c r="M260" s="9" t="str">
        <f>IFERROR(__xludf.DUMMYFUNCTION("""COMPUTED_VALUE"""),"Unami")</f>
        <v>Unami</v>
      </c>
      <c r="N260" s="9" t="str">
        <f>IFERROR(__xludf.DUMMYFUNCTION("""COMPUTED_VALUE"""),"Sweetened")</f>
        <v>Sweetened</v>
      </c>
      <c r="O260" s="9" t="str">
        <f>IFERROR(__xludf.DUMMYFUNCTION("""COMPUTED_VALUE"""),"Carton")</f>
        <v>Carton</v>
      </c>
      <c r="P260" s="9">
        <f>IFERROR(__xludf.DUMMYFUNCTION("""COMPUTED_VALUE"""),180.0)</f>
        <v>180</v>
      </c>
      <c r="Q260" s="9" t="str">
        <f>IFERROR(__xludf.DUMMYFUNCTION("""COMPUTED_VALUE"""),"Q2'23")</f>
        <v>Q2'23</v>
      </c>
      <c r="R260" s="9">
        <f>IFERROR(__xludf.DUMMYFUNCTION("""COMPUTED_VALUE"""),5.7807266392461)</f>
        <v>5.780726639</v>
      </c>
    </row>
    <row r="261" ht="14.25" customHeight="1">
      <c r="A261" s="3" t="s">
        <v>23</v>
      </c>
      <c r="B261" s="3" t="s">
        <v>11</v>
      </c>
      <c r="C261" s="3" t="s">
        <v>12</v>
      </c>
      <c r="D261" s="3" t="s">
        <v>13</v>
      </c>
      <c r="E261" s="3" t="s">
        <v>14</v>
      </c>
      <c r="F261" s="3">
        <v>180.0</v>
      </c>
      <c r="G261" s="4" t="s">
        <v>18</v>
      </c>
      <c r="H261" s="3">
        <v>5.0639901831003336</v>
      </c>
      <c r="K261" s="9" t="str">
        <f>IFERROR(__xludf.DUMMYFUNCTION("""COMPUTED_VALUE"""),"TT Off North")</f>
        <v>TT Off North</v>
      </c>
      <c r="L261" s="9" t="str">
        <f>IFERROR(__xludf.DUMMYFUNCTION("""COMPUTED_VALUE"""),"Elite")</f>
        <v>Elite</v>
      </c>
      <c r="M261" s="9" t="str">
        <f>IFERROR(__xludf.DUMMYFUNCTION("""COMPUTED_VALUE"""),"Unami")</f>
        <v>Unami</v>
      </c>
      <c r="N261" s="9" t="str">
        <f>IFERROR(__xludf.DUMMYFUNCTION("""COMPUTED_VALUE"""),"Sweetened")</f>
        <v>Sweetened</v>
      </c>
      <c r="O261" s="9" t="str">
        <f>IFERROR(__xludf.DUMMYFUNCTION("""COMPUTED_VALUE"""),"Carton")</f>
        <v>Carton</v>
      </c>
      <c r="P261" s="9">
        <f>IFERROR(__xludf.DUMMYFUNCTION("""COMPUTED_VALUE"""),180.0)</f>
        <v>180</v>
      </c>
      <c r="Q261" s="9" t="str">
        <f>IFERROR(__xludf.DUMMYFUNCTION("""COMPUTED_VALUE"""),"Q3'23")</f>
        <v>Q3'23</v>
      </c>
      <c r="R261" s="9">
        <f>IFERROR(__xludf.DUMMYFUNCTION("""COMPUTED_VALUE"""),5.700181859267979)</f>
        <v>5.700181859</v>
      </c>
    </row>
    <row r="262" ht="14.25" customHeight="1">
      <c r="A262" s="3" t="s">
        <v>23</v>
      </c>
      <c r="B262" s="3" t="s">
        <v>11</v>
      </c>
      <c r="C262" s="3" t="s">
        <v>12</v>
      </c>
      <c r="D262" s="3" t="s">
        <v>13</v>
      </c>
      <c r="E262" s="3" t="s">
        <v>14</v>
      </c>
      <c r="F262" s="3">
        <v>180.0</v>
      </c>
      <c r="G262" s="4" t="s">
        <v>19</v>
      </c>
      <c r="H262" s="3">
        <v>4.672980043789438</v>
      </c>
      <c r="K262" s="9" t="str">
        <f>IFERROR(__xludf.DUMMYFUNCTION("""COMPUTED_VALUE"""),"TT Off North")</f>
        <v>TT Off North</v>
      </c>
      <c r="L262" s="9" t="str">
        <f>IFERROR(__xludf.DUMMYFUNCTION("""COMPUTED_VALUE"""),"Elite")</f>
        <v>Elite</v>
      </c>
      <c r="M262" s="9" t="str">
        <f>IFERROR(__xludf.DUMMYFUNCTION("""COMPUTED_VALUE"""),"Unami")</f>
        <v>Unami</v>
      </c>
      <c r="N262" s="9" t="str">
        <f>IFERROR(__xludf.DUMMYFUNCTION("""COMPUTED_VALUE"""),"Sweetened")</f>
        <v>Sweetened</v>
      </c>
      <c r="O262" s="9" t="str">
        <f>IFERROR(__xludf.DUMMYFUNCTION("""COMPUTED_VALUE"""),"Carton")</f>
        <v>Carton</v>
      </c>
      <c r="P262" s="9">
        <f>IFERROR(__xludf.DUMMYFUNCTION("""COMPUTED_VALUE"""),180.0)</f>
        <v>180</v>
      </c>
      <c r="Q262" s="9" t="str">
        <f>IFERROR(__xludf.DUMMYFUNCTION("""COMPUTED_VALUE"""),"Q4'23")</f>
        <v>Q4'23</v>
      </c>
      <c r="R262" s="9">
        <f>IFERROR(__xludf.DUMMYFUNCTION("""COMPUTED_VALUE"""),6.075348883458802)</f>
        <v>6.075348883</v>
      </c>
    </row>
    <row r="263" ht="14.25" customHeight="1">
      <c r="A263" s="3" t="s">
        <v>23</v>
      </c>
      <c r="B263" s="3" t="s">
        <v>11</v>
      </c>
      <c r="C263" s="3" t="s">
        <v>12</v>
      </c>
      <c r="D263" s="3" t="s">
        <v>13</v>
      </c>
      <c r="E263" s="3" t="s">
        <v>14</v>
      </c>
      <c r="F263" s="3">
        <v>180.0</v>
      </c>
      <c r="G263" s="4" t="s">
        <v>20</v>
      </c>
      <c r="H263" s="3">
        <v>4.271313589161199</v>
      </c>
      <c r="K263" s="9" t="str">
        <f>IFERROR(__xludf.DUMMYFUNCTION("""COMPUTED_VALUE"""),"TT Off North")</f>
        <v>TT Off North</v>
      </c>
      <c r="L263" s="9" t="str">
        <f>IFERROR(__xludf.DUMMYFUNCTION("""COMPUTED_VALUE"""),"Elite")</f>
        <v>Elite</v>
      </c>
      <c r="M263" s="9" t="str">
        <f>IFERROR(__xludf.DUMMYFUNCTION("""COMPUTED_VALUE"""),"Unami")</f>
        <v>Unami</v>
      </c>
      <c r="N263" s="9" t="str">
        <f>IFERROR(__xludf.DUMMYFUNCTION("""COMPUTED_VALUE"""),"Sweetened")</f>
        <v>Sweetened</v>
      </c>
      <c r="O263" s="9" t="str">
        <f>IFERROR(__xludf.DUMMYFUNCTION("""COMPUTED_VALUE"""),"TFA")</f>
        <v>TFA</v>
      </c>
      <c r="P263" s="9">
        <f>IFERROR(__xludf.DUMMYFUNCTION("""COMPUTED_VALUE"""),220.0)</f>
        <v>220</v>
      </c>
      <c r="Q263" s="9" t="str">
        <f>IFERROR(__xludf.DUMMYFUNCTION("""COMPUTED_VALUE"""),"Q3'22")</f>
        <v>Q3'22</v>
      </c>
      <c r="R263" s="9">
        <f>IFERROR(__xludf.DUMMYFUNCTION("""COMPUTED_VALUE"""),0.3221609723429863)</f>
        <v>0.3221609723</v>
      </c>
    </row>
    <row r="264" ht="14.25" customHeight="1">
      <c r="A264" s="3" t="s">
        <v>23</v>
      </c>
      <c r="B264" s="3" t="s">
        <v>11</v>
      </c>
      <c r="C264" s="3" t="s">
        <v>12</v>
      </c>
      <c r="D264" s="3" t="s">
        <v>13</v>
      </c>
      <c r="E264" s="3" t="s">
        <v>14</v>
      </c>
      <c r="F264" s="3">
        <v>180.0</v>
      </c>
      <c r="G264" s="4" t="s">
        <v>21</v>
      </c>
      <c r="H264" s="3">
        <v>4.10138870141567</v>
      </c>
      <c r="K264" s="9" t="str">
        <f>IFERROR(__xludf.DUMMYFUNCTION("""COMPUTED_VALUE"""),"TT Off North")</f>
        <v>TT Off North</v>
      </c>
      <c r="L264" s="9" t="str">
        <f>IFERROR(__xludf.DUMMYFUNCTION("""COMPUTED_VALUE"""),"Elite")</f>
        <v>Elite</v>
      </c>
      <c r="M264" s="9" t="str">
        <f>IFERROR(__xludf.DUMMYFUNCTION("""COMPUTED_VALUE"""),"Unami")</f>
        <v>Unami</v>
      </c>
      <c r="N264" s="9" t="str">
        <f>IFERROR(__xludf.DUMMYFUNCTION("""COMPUTED_VALUE"""),"Sweetened")</f>
        <v>Sweetened</v>
      </c>
      <c r="O264" s="9" t="str">
        <f>IFERROR(__xludf.DUMMYFUNCTION("""COMPUTED_VALUE"""),"TFA")</f>
        <v>TFA</v>
      </c>
      <c r="P264" s="9">
        <f>IFERROR(__xludf.DUMMYFUNCTION("""COMPUTED_VALUE"""),220.0)</f>
        <v>220</v>
      </c>
      <c r="Q264" s="9" t="str">
        <f>IFERROR(__xludf.DUMMYFUNCTION("""COMPUTED_VALUE"""),"Q4'22")</f>
        <v>Q4'22</v>
      </c>
      <c r="R264" s="9">
        <f>IFERROR(__xludf.DUMMYFUNCTION("""COMPUTED_VALUE"""),1.5240135817892495)</f>
        <v>1.524013582</v>
      </c>
    </row>
    <row r="265" ht="14.25" customHeight="1">
      <c r="A265" s="3" t="s">
        <v>23</v>
      </c>
      <c r="B265" s="3" t="s">
        <v>11</v>
      </c>
      <c r="C265" s="3" t="s">
        <v>12</v>
      </c>
      <c r="D265" s="3" t="s">
        <v>13</v>
      </c>
      <c r="E265" s="3" t="s">
        <v>14</v>
      </c>
      <c r="F265" s="3">
        <v>180.0</v>
      </c>
      <c r="G265" s="4" t="s">
        <v>22</v>
      </c>
      <c r="H265" s="3">
        <v>3.8992509597975977</v>
      </c>
      <c r="K265" s="9" t="str">
        <f>IFERROR(__xludf.DUMMYFUNCTION("""COMPUTED_VALUE"""),"TT Off North")</f>
        <v>TT Off North</v>
      </c>
      <c r="L265" s="9" t="str">
        <f>IFERROR(__xludf.DUMMYFUNCTION("""COMPUTED_VALUE"""),"Elite")</f>
        <v>Elite</v>
      </c>
      <c r="M265" s="9" t="str">
        <f>IFERROR(__xludf.DUMMYFUNCTION("""COMPUTED_VALUE"""),"Unami")</f>
        <v>Unami</v>
      </c>
      <c r="N265" s="9" t="str">
        <f>IFERROR(__xludf.DUMMYFUNCTION("""COMPUTED_VALUE"""),"Sweetened")</f>
        <v>Sweetened</v>
      </c>
      <c r="O265" s="9" t="str">
        <f>IFERROR(__xludf.DUMMYFUNCTION("""COMPUTED_VALUE"""),"TFA")</f>
        <v>TFA</v>
      </c>
      <c r="P265" s="9">
        <f>IFERROR(__xludf.DUMMYFUNCTION("""COMPUTED_VALUE"""),220.0)</f>
        <v>220</v>
      </c>
      <c r="Q265" s="9" t="str">
        <f>IFERROR(__xludf.DUMMYFUNCTION("""COMPUTED_VALUE"""),"Q1'23")</f>
        <v>Q1'23</v>
      </c>
      <c r="R265" s="9">
        <f>IFERROR(__xludf.DUMMYFUNCTION("""COMPUTED_VALUE"""),1.7218973469047745)</f>
        <v>1.721897347</v>
      </c>
    </row>
    <row r="266" ht="14.25" customHeight="1">
      <c r="A266" s="3" t="s">
        <v>23</v>
      </c>
      <c r="B266" s="3" t="s">
        <v>11</v>
      </c>
      <c r="C266" s="3" t="s">
        <v>12</v>
      </c>
      <c r="D266" s="3" t="s">
        <v>13</v>
      </c>
      <c r="E266" s="3" t="s">
        <v>29</v>
      </c>
      <c r="F266" s="3">
        <v>220.0</v>
      </c>
      <c r="G266" s="4" t="s">
        <v>15</v>
      </c>
      <c r="H266" s="3">
        <v>15.211336110054601</v>
      </c>
      <c r="K266" s="9" t="str">
        <f>IFERROR(__xludf.DUMMYFUNCTION("""COMPUTED_VALUE"""),"TT Off North")</f>
        <v>TT Off North</v>
      </c>
      <c r="L266" s="9" t="str">
        <f>IFERROR(__xludf.DUMMYFUNCTION("""COMPUTED_VALUE"""),"Elite")</f>
        <v>Elite</v>
      </c>
      <c r="M266" s="9" t="str">
        <f>IFERROR(__xludf.DUMMYFUNCTION("""COMPUTED_VALUE"""),"Unami")</f>
        <v>Unami</v>
      </c>
      <c r="N266" s="9" t="str">
        <f>IFERROR(__xludf.DUMMYFUNCTION("""COMPUTED_VALUE"""),"Sweetened")</f>
        <v>Sweetened</v>
      </c>
      <c r="O266" s="9" t="str">
        <f>IFERROR(__xludf.DUMMYFUNCTION("""COMPUTED_VALUE"""),"TFA")</f>
        <v>TFA</v>
      </c>
      <c r="P266" s="9">
        <f>IFERROR(__xludf.DUMMYFUNCTION("""COMPUTED_VALUE"""),220.0)</f>
        <v>220</v>
      </c>
      <c r="Q266" s="9" t="str">
        <f>IFERROR(__xludf.DUMMYFUNCTION("""COMPUTED_VALUE"""),"Q2'23")</f>
        <v>Q2'23</v>
      </c>
      <c r="R266" s="9">
        <f>IFERROR(__xludf.DUMMYFUNCTION("""COMPUTED_VALUE"""),2.235051388622674)</f>
        <v>2.235051389</v>
      </c>
    </row>
    <row r="267" ht="14.25" customHeight="1">
      <c r="A267" s="3" t="s">
        <v>23</v>
      </c>
      <c r="B267" s="3" t="s">
        <v>11</v>
      </c>
      <c r="C267" s="3" t="s">
        <v>12</v>
      </c>
      <c r="D267" s="3" t="s">
        <v>13</v>
      </c>
      <c r="E267" s="3" t="s">
        <v>29</v>
      </c>
      <c r="F267" s="3">
        <v>220.0</v>
      </c>
      <c r="G267" s="4" t="s">
        <v>16</v>
      </c>
      <c r="H267" s="3">
        <v>15.325775191469182</v>
      </c>
      <c r="K267" s="9" t="str">
        <f>IFERROR(__xludf.DUMMYFUNCTION("""COMPUTED_VALUE"""),"TT Off North")</f>
        <v>TT Off North</v>
      </c>
      <c r="L267" s="9" t="str">
        <f>IFERROR(__xludf.DUMMYFUNCTION("""COMPUTED_VALUE"""),"Elite")</f>
        <v>Elite</v>
      </c>
      <c r="M267" s="9" t="str">
        <f>IFERROR(__xludf.DUMMYFUNCTION("""COMPUTED_VALUE"""),"Unami")</f>
        <v>Unami</v>
      </c>
      <c r="N267" s="9" t="str">
        <f>IFERROR(__xludf.DUMMYFUNCTION("""COMPUTED_VALUE"""),"Sweetened")</f>
        <v>Sweetened</v>
      </c>
      <c r="O267" s="9" t="str">
        <f>IFERROR(__xludf.DUMMYFUNCTION("""COMPUTED_VALUE"""),"TFA")</f>
        <v>TFA</v>
      </c>
      <c r="P267" s="9">
        <f>IFERROR(__xludf.DUMMYFUNCTION("""COMPUTED_VALUE"""),220.0)</f>
        <v>220</v>
      </c>
      <c r="Q267" s="9" t="str">
        <f>IFERROR(__xludf.DUMMYFUNCTION("""COMPUTED_VALUE"""),"Q3'23")</f>
        <v>Q3'23</v>
      </c>
      <c r="R267" s="9">
        <f>IFERROR(__xludf.DUMMYFUNCTION("""COMPUTED_VALUE"""),2.1119738832211663)</f>
        <v>2.111973883</v>
      </c>
    </row>
    <row r="268" ht="14.25" customHeight="1">
      <c r="A268" s="3" t="s">
        <v>23</v>
      </c>
      <c r="B268" s="3" t="s">
        <v>11</v>
      </c>
      <c r="C268" s="3" t="s">
        <v>12</v>
      </c>
      <c r="D268" s="3" t="s">
        <v>13</v>
      </c>
      <c r="E268" s="3" t="s">
        <v>29</v>
      </c>
      <c r="F268" s="3">
        <v>220.0</v>
      </c>
      <c r="G268" s="4" t="s">
        <v>17</v>
      </c>
      <c r="H268" s="3">
        <v>14.42277728136222</v>
      </c>
      <c r="K268" s="9" t="str">
        <f>IFERROR(__xludf.DUMMYFUNCTION("""COMPUTED_VALUE"""),"TT Off North")</f>
        <v>TT Off North</v>
      </c>
      <c r="L268" s="9" t="str">
        <f>IFERROR(__xludf.DUMMYFUNCTION("""COMPUTED_VALUE"""),"Elite")</f>
        <v>Elite</v>
      </c>
      <c r="M268" s="9" t="str">
        <f>IFERROR(__xludf.DUMMYFUNCTION("""COMPUTED_VALUE"""),"Unami")</f>
        <v>Unami</v>
      </c>
      <c r="N268" s="9" t="str">
        <f>IFERROR(__xludf.DUMMYFUNCTION("""COMPUTED_VALUE"""),"Sweetened")</f>
        <v>Sweetened</v>
      </c>
      <c r="O268" s="9" t="str">
        <f>IFERROR(__xludf.DUMMYFUNCTION("""COMPUTED_VALUE"""),"TFA")</f>
        <v>TFA</v>
      </c>
      <c r="P268" s="9">
        <f>IFERROR(__xludf.DUMMYFUNCTION("""COMPUTED_VALUE"""),220.0)</f>
        <v>220</v>
      </c>
      <c r="Q268" s="9" t="str">
        <f>IFERROR(__xludf.DUMMYFUNCTION("""COMPUTED_VALUE"""),"Q4'23")</f>
        <v>Q4'23</v>
      </c>
      <c r="R268" s="9">
        <f>IFERROR(__xludf.DUMMYFUNCTION("""COMPUTED_VALUE"""),1.6913621633126843)</f>
        <v>1.691362163</v>
      </c>
    </row>
    <row r="269" ht="14.25" customHeight="1">
      <c r="A269" s="3" t="s">
        <v>23</v>
      </c>
      <c r="B269" s="3" t="s">
        <v>11</v>
      </c>
      <c r="C269" s="3" t="s">
        <v>12</v>
      </c>
      <c r="D269" s="3" t="s">
        <v>13</v>
      </c>
      <c r="E269" s="3" t="s">
        <v>29</v>
      </c>
      <c r="F269" s="3">
        <v>220.0</v>
      </c>
      <c r="G269" s="4" t="s">
        <v>18</v>
      </c>
      <c r="H269" s="3">
        <v>15.030386431405379</v>
      </c>
      <c r="K269" s="9" t="str">
        <f>IFERROR(__xludf.DUMMYFUNCTION("""COMPUTED_VALUE"""),"TT Off North")</f>
        <v>TT Off North</v>
      </c>
      <c r="L269" s="9" t="str">
        <f>IFERROR(__xludf.DUMMYFUNCTION("""COMPUTED_VALUE"""),"Joyi")</f>
        <v>Joyi</v>
      </c>
      <c r="M269" s="9" t="str">
        <f>IFERROR(__xludf.DUMMYFUNCTION("""COMPUTED_VALUE"""),"Smartmilk")</f>
        <v>Smartmilk</v>
      </c>
      <c r="N269" s="9" t="str">
        <f>IFERROR(__xludf.DUMMYFUNCTION("""COMPUTED_VALUE"""),"Sweetened")</f>
        <v>Sweetened</v>
      </c>
      <c r="O269" s="9" t="str">
        <f>IFERROR(__xludf.DUMMYFUNCTION("""COMPUTED_VALUE"""),"Carton")</f>
        <v>Carton</v>
      </c>
      <c r="P269" s="9">
        <f>IFERROR(__xludf.DUMMYFUNCTION("""COMPUTED_VALUE"""),110.0)</f>
        <v>110</v>
      </c>
      <c r="Q269" s="9" t="str">
        <f>IFERROR(__xludf.DUMMYFUNCTION("""COMPUTED_VALUE"""),"Q1'22")</f>
        <v>Q1'22</v>
      </c>
      <c r="R269" s="9">
        <f>IFERROR(__xludf.DUMMYFUNCTION("""COMPUTED_VALUE"""),1.6051592113999893)</f>
        <v>1.605159211</v>
      </c>
    </row>
    <row r="270" ht="14.25" customHeight="1">
      <c r="A270" s="3" t="s">
        <v>23</v>
      </c>
      <c r="B270" s="3" t="s">
        <v>11</v>
      </c>
      <c r="C270" s="3" t="s">
        <v>12</v>
      </c>
      <c r="D270" s="3" t="s">
        <v>13</v>
      </c>
      <c r="E270" s="3" t="s">
        <v>29</v>
      </c>
      <c r="F270" s="3">
        <v>220.0</v>
      </c>
      <c r="G270" s="4" t="s">
        <v>19</v>
      </c>
      <c r="H270" s="3">
        <v>14.858397598583254</v>
      </c>
      <c r="K270" s="9" t="str">
        <f>IFERROR(__xludf.DUMMYFUNCTION("""COMPUTED_VALUE"""),"TT Off North")</f>
        <v>TT Off North</v>
      </c>
      <c r="L270" s="9" t="str">
        <f>IFERROR(__xludf.DUMMYFUNCTION("""COMPUTED_VALUE"""),"Joyi")</f>
        <v>Joyi</v>
      </c>
      <c r="M270" s="9" t="str">
        <f>IFERROR(__xludf.DUMMYFUNCTION("""COMPUTED_VALUE"""),"Smartmilk")</f>
        <v>Smartmilk</v>
      </c>
      <c r="N270" s="9" t="str">
        <f>IFERROR(__xludf.DUMMYFUNCTION("""COMPUTED_VALUE"""),"Sweetened")</f>
        <v>Sweetened</v>
      </c>
      <c r="O270" s="9" t="str">
        <f>IFERROR(__xludf.DUMMYFUNCTION("""COMPUTED_VALUE"""),"Carton")</f>
        <v>Carton</v>
      </c>
      <c r="P270" s="9">
        <f>IFERROR(__xludf.DUMMYFUNCTION("""COMPUTED_VALUE"""),110.0)</f>
        <v>110</v>
      </c>
      <c r="Q270" s="9" t="str">
        <f>IFERROR(__xludf.DUMMYFUNCTION("""COMPUTED_VALUE"""),"Q2'22")</f>
        <v>Q2'22</v>
      </c>
      <c r="R270" s="9">
        <f>IFERROR(__xludf.DUMMYFUNCTION("""COMPUTED_VALUE"""),1.1615325482939785)</f>
        <v>1.161532548</v>
      </c>
    </row>
    <row r="271" ht="14.25" customHeight="1">
      <c r="A271" s="3" t="s">
        <v>23</v>
      </c>
      <c r="B271" s="3" t="s">
        <v>11</v>
      </c>
      <c r="C271" s="3" t="s">
        <v>12</v>
      </c>
      <c r="D271" s="3" t="s">
        <v>13</v>
      </c>
      <c r="E271" s="3" t="s">
        <v>29</v>
      </c>
      <c r="F271" s="3">
        <v>220.0</v>
      </c>
      <c r="G271" s="4" t="s">
        <v>20</v>
      </c>
      <c r="H271" s="3">
        <v>15.491273948589706</v>
      </c>
      <c r="K271" s="9" t="str">
        <f>IFERROR(__xludf.DUMMYFUNCTION("""COMPUTED_VALUE"""),"TT Off North")</f>
        <v>TT Off North</v>
      </c>
      <c r="L271" s="9" t="str">
        <f>IFERROR(__xludf.DUMMYFUNCTION("""COMPUTED_VALUE"""),"Joyi")</f>
        <v>Joyi</v>
      </c>
      <c r="M271" s="9" t="str">
        <f>IFERROR(__xludf.DUMMYFUNCTION("""COMPUTED_VALUE"""),"Smartmilk")</f>
        <v>Smartmilk</v>
      </c>
      <c r="N271" s="9" t="str">
        <f>IFERROR(__xludf.DUMMYFUNCTION("""COMPUTED_VALUE"""),"Sweetened")</f>
        <v>Sweetened</v>
      </c>
      <c r="O271" s="9" t="str">
        <f>IFERROR(__xludf.DUMMYFUNCTION("""COMPUTED_VALUE"""),"Carton")</f>
        <v>Carton</v>
      </c>
      <c r="P271" s="9">
        <f>IFERROR(__xludf.DUMMYFUNCTION("""COMPUTED_VALUE"""),110.0)</f>
        <v>110</v>
      </c>
      <c r="Q271" s="9" t="str">
        <f>IFERROR(__xludf.DUMMYFUNCTION("""COMPUTED_VALUE"""),"Q3'22")</f>
        <v>Q3'22</v>
      </c>
      <c r="R271" s="9">
        <f>IFERROR(__xludf.DUMMYFUNCTION("""COMPUTED_VALUE"""),1.4431070637650982)</f>
        <v>1.443107064</v>
      </c>
    </row>
    <row r="272" ht="14.25" customHeight="1">
      <c r="A272" s="3" t="s">
        <v>23</v>
      </c>
      <c r="B272" s="3" t="s">
        <v>11</v>
      </c>
      <c r="C272" s="3" t="s">
        <v>12</v>
      </c>
      <c r="D272" s="3" t="s">
        <v>13</v>
      </c>
      <c r="E272" s="3" t="s">
        <v>29</v>
      </c>
      <c r="F272" s="3">
        <v>220.0</v>
      </c>
      <c r="G272" s="4" t="s">
        <v>21</v>
      </c>
      <c r="H272" s="3">
        <v>15.601014762087361</v>
      </c>
      <c r="K272" s="9" t="str">
        <f>IFERROR(__xludf.DUMMYFUNCTION("""COMPUTED_VALUE"""),"TT Off North")</f>
        <v>TT Off North</v>
      </c>
      <c r="L272" s="9" t="str">
        <f>IFERROR(__xludf.DUMMYFUNCTION("""COMPUTED_VALUE"""),"Joyi")</f>
        <v>Joyi</v>
      </c>
      <c r="M272" s="9" t="str">
        <f>IFERROR(__xludf.DUMMYFUNCTION("""COMPUTED_VALUE"""),"Smartmilk")</f>
        <v>Smartmilk</v>
      </c>
      <c r="N272" s="9" t="str">
        <f>IFERROR(__xludf.DUMMYFUNCTION("""COMPUTED_VALUE"""),"Sweetened")</f>
        <v>Sweetened</v>
      </c>
      <c r="O272" s="9" t="str">
        <f>IFERROR(__xludf.DUMMYFUNCTION("""COMPUTED_VALUE"""),"Carton")</f>
        <v>Carton</v>
      </c>
      <c r="P272" s="9">
        <f>IFERROR(__xludf.DUMMYFUNCTION("""COMPUTED_VALUE"""),110.0)</f>
        <v>110</v>
      </c>
      <c r="Q272" s="9" t="str">
        <f>IFERROR(__xludf.DUMMYFUNCTION("""COMPUTED_VALUE"""),"Q4'22")</f>
        <v>Q4'22</v>
      </c>
      <c r="R272" s="9">
        <f>IFERROR(__xludf.DUMMYFUNCTION("""COMPUTED_VALUE"""),1.6774153856913614)</f>
        <v>1.677415386</v>
      </c>
    </row>
    <row r="273" ht="14.25" customHeight="1">
      <c r="A273" s="3" t="s">
        <v>23</v>
      </c>
      <c r="B273" s="3" t="s">
        <v>11</v>
      </c>
      <c r="C273" s="3" t="s">
        <v>12</v>
      </c>
      <c r="D273" s="3" t="s">
        <v>13</v>
      </c>
      <c r="E273" s="3" t="s">
        <v>29</v>
      </c>
      <c r="F273" s="3">
        <v>220.0</v>
      </c>
      <c r="G273" s="4" t="s">
        <v>22</v>
      </c>
      <c r="H273" s="3">
        <v>15.773930325588712</v>
      </c>
      <c r="K273" s="9" t="str">
        <f>IFERROR(__xludf.DUMMYFUNCTION("""COMPUTED_VALUE"""),"TT Off North")</f>
        <v>TT Off North</v>
      </c>
      <c r="L273" s="9" t="str">
        <f>IFERROR(__xludf.DUMMYFUNCTION("""COMPUTED_VALUE"""),"Joyi")</f>
        <v>Joyi</v>
      </c>
      <c r="M273" s="9" t="str">
        <f>IFERROR(__xludf.DUMMYFUNCTION("""COMPUTED_VALUE"""),"Smartmilk")</f>
        <v>Smartmilk</v>
      </c>
      <c r="N273" s="9" t="str">
        <f>IFERROR(__xludf.DUMMYFUNCTION("""COMPUTED_VALUE"""),"Sweetened")</f>
        <v>Sweetened</v>
      </c>
      <c r="O273" s="9" t="str">
        <f>IFERROR(__xludf.DUMMYFUNCTION("""COMPUTED_VALUE"""),"Carton")</f>
        <v>Carton</v>
      </c>
      <c r="P273" s="9">
        <f>IFERROR(__xludf.DUMMYFUNCTION("""COMPUTED_VALUE"""),110.0)</f>
        <v>110</v>
      </c>
      <c r="Q273" s="9" t="str">
        <f>IFERROR(__xludf.DUMMYFUNCTION("""COMPUTED_VALUE"""),"Q1'23")</f>
        <v>Q1'23</v>
      </c>
      <c r="R273" s="9">
        <f>IFERROR(__xludf.DUMMYFUNCTION("""COMPUTED_VALUE"""),1.7397540775425955)</f>
        <v>1.739754078</v>
      </c>
    </row>
    <row r="274" ht="14.25" customHeight="1">
      <c r="A274" s="3" t="s">
        <v>23</v>
      </c>
      <c r="B274" s="6" t="s">
        <v>38</v>
      </c>
      <c r="C274" s="3" t="s">
        <v>39</v>
      </c>
      <c r="D274" s="3" t="s">
        <v>13</v>
      </c>
      <c r="E274" s="3" t="s">
        <v>14</v>
      </c>
      <c r="F274" s="3">
        <v>110.0</v>
      </c>
      <c r="G274" s="4" t="s">
        <v>15</v>
      </c>
      <c r="H274" s="3">
        <v>1.535957757160089</v>
      </c>
      <c r="K274" s="9" t="str">
        <f>IFERROR(__xludf.DUMMYFUNCTION("""COMPUTED_VALUE"""),"TT Off North")</f>
        <v>TT Off North</v>
      </c>
      <c r="L274" s="9" t="str">
        <f>IFERROR(__xludf.DUMMYFUNCTION("""COMPUTED_VALUE"""),"Joyi")</f>
        <v>Joyi</v>
      </c>
      <c r="M274" s="9" t="str">
        <f>IFERROR(__xludf.DUMMYFUNCTION("""COMPUTED_VALUE"""),"Smartmilk")</f>
        <v>Smartmilk</v>
      </c>
      <c r="N274" s="9" t="str">
        <f>IFERROR(__xludf.DUMMYFUNCTION("""COMPUTED_VALUE"""),"Sweetened")</f>
        <v>Sweetened</v>
      </c>
      <c r="O274" s="9" t="str">
        <f>IFERROR(__xludf.DUMMYFUNCTION("""COMPUTED_VALUE"""),"Carton")</f>
        <v>Carton</v>
      </c>
      <c r="P274" s="9">
        <f>IFERROR(__xludf.DUMMYFUNCTION("""COMPUTED_VALUE"""),110.0)</f>
        <v>110</v>
      </c>
      <c r="Q274" s="9" t="str">
        <f>IFERROR(__xludf.DUMMYFUNCTION("""COMPUTED_VALUE"""),"Q2'23")</f>
        <v>Q2'23</v>
      </c>
      <c r="R274" s="9">
        <f>IFERROR(__xludf.DUMMYFUNCTION("""COMPUTED_VALUE"""),1.7211894236876486)</f>
        <v>1.721189424</v>
      </c>
    </row>
    <row r="275" ht="14.25" customHeight="1">
      <c r="A275" s="3" t="s">
        <v>23</v>
      </c>
      <c r="B275" s="6" t="s">
        <v>38</v>
      </c>
      <c r="C275" s="3" t="s">
        <v>39</v>
      </c>
      <c r="D275" s="3" t="s">
        <v>13</v>
      </c>
      <c r="E275" s="3" t="s">
        <v>14</v>
      </c>
      <c r="F275" s="3">
        <v>110.0</v>
      </c>
      <c r="G275" s="4" t="s">
        <v>16</v>
      </c>
      <c r="H275" s="3">
        <v>1.3546682396640288</v>
      </c>
      <c r="K275" s="9" t="str">
        <f>IFERROR(__xludf.DUMMYFUNCTION("""COMPUTED_VALUE"""),"TT Off North")</f>
        <v>TT Off North</v>
      </c>
      <c r="L275" s="9" t="str">
        <f>IFERROR(__xludf.DUMMYFUNCTION("""COMPUTED_VALUE"""),"Joyi")</f>
        <v>Joyi</v>
      </c>
      <c r="M275" s="9" t="str">
        <f>IFERROR(__xludf.DUMMYFUNCTION("""COMPUTED_VALUE"""),"Smartmilk")</f>
        <v>Smartmilk</v>
      </c>
      <c r="N275" s="9" t="str">
        <f>IFERROR(__xludf.DUMMYFUNCTION("""COMPUTED_VALUE"""),"Sweetened")</f>
        <v>Sweetened</v>
      </c>
      <c r="O275" s="9" t="str">
        <f>IFERROR(__xludf.DUMMYFUNCTION("""COMPUTED_VALUE"""),"Carton")</f>
        <v>Carton</v>
      </c>
      <c r="P275" s="9">
        <f>IFERROR(__xludf.DUMMYFUNCTION("""COMPUTED_VALUE"""),110.0)</f>
        <v>110</v>
      </c>
      <c r="Q275" s="9" t="str">
        <f>IFERROR(__xludf.DUMMYFUNCTION("""COMPUTED_VALUE"""),"Q3'23")</f>
        <v>Q3'23</v>
      </c>
      <c r="R275" s="9">
        <f>IFERROR(__xludf.DUMMYFUNCTION("""COMPUTED_VALUE"""),1.6498070318054423)</f>
        <v>1.649807032</v>
      </c>
    </row>
    <row r="276" ht="14.25" customHeight="1">
      <c r="A276" s="3" t="s">
        <v>23</v>
      </c>
      <c r="B276" s="6" t="s">
        <v>38</v>
      </c>
      <c r="C276" s="3" t="s">
        <v>39</v>
      </c>
      <c r="D276" s="3" t="s">
        <v>13</v>
      </c>
      <c r="E276" s="3" t="s">
        <v>14</v>
      </c>
      <c r="F276" s="3">
        <v>110.0</v>
      </c>
      <c r="G276" s="4" t="s">
        <v>17</v>
      </c>
      <c r="H276" s="3">
        <v>1.501326953925034</v>
      </c>
      <c r="K276" s="9" t="str">
        <f>IFERROR(__xludf.DUMMYFUNCTION("""COMPUTED_VALUE"""),"TT Off North")</f>
        <v>TT Off North</v>
      </c>
      <c r="L276" s="9" t="str">
        <f>IFERROR(__xludf.DUMMYFUNCTION("""COMPUTED_VALUE"""),"Joyi")</f>
        <v>Joyi</v>
      </c>
      <c r="M276" s="9" t="str">
        <f>IFERROR(__xludf.DUMMYFUNCTION("""COMPUTED_VALUE"""),"Smartmilk")</f>
        <v>Smartmilk</v>
      </c>
      <c r="N276" s="9" t="str">
        <f>IFERROR(__xludf.DUMMYFUNCTION("""COMPUTED_VALUE"""),"Sweetened")</f>
        <v>Sweetened</v>
      </c>
      <c r="O276" s="9" t="str">
        <f>IFERROR(__xludf.DUMMYFUNCTION("""COMPUTED_VALUE"""),"Carton")</f>
        <v>Carton</v>
      </c>
      <c r="P276" s="9">
        <f>IFERROR(__xludf.DUMMYFUNCTION("""COMPUTED_VALUE"""),110.0)</f>
        <v>110</v>
      </c>
      <c r="Q276" s="9" t="str">
        <f>IFERROR(__xludf.DUMMYFUNCTION("""COMPUTED_VALUE"""),"Q4'23")</f>
        <v>Q4'23</v>
      </c>
      <c r="R276" s="9">
        <f>IFERROR(__xludf.DUMMYFUNCTION("""COMPUTED_VALUE"""),1.852500655306908)</f>
        <v>1.852500655</v>
      </c>
    </row>
    <row r="277" ht="14.25" customHeight="1">
      <c r="A277" s="3" t="s">
        <v>23</v>
      </c>
      <c r="B277" s="6" t="s">
        <v>38</v>
      </c>
      <c r="C277" s="3" t="s">
        <v>39</v>
      </c>
      <c r="D277" s="3" t="s">
        <v>13</v>
      </c>
      <c r="E277" s="3" t="s">
        <v>14</v>
      </c>
      <c r="F277" s="3">
        <v>110.0</v>
      </c>
      <c r="G277" s="4" t="s">
        <v>18</v>
      </c>
      <c r="H277" s="3">
        <v>1.6108656958852945</v>
      </c>
      <c r="K277" s="9" t="str">
        <f>IFERROR(__xludf.DUMMYFUNCTION("""COMPUTED_VALUE"""),"TT Off North")</f>
        <v>TT Off North</v>
      </c>
      <c r="L277" s="9" t="str">
        <f>IFERROR(__xludf.DUMMYFUNCTION("""COMPUTED_VALUE"""),"Joyi")</f>
        <v>Joyi</v>
      </c>
      <c r="M277" s="9" t="str">
        <f>IFERROR(__xludf.DUMMYFUNCTION("""COMPUTED_VALUE"""),"Smartmilk")</f>
        <v>Smartmilk</v>
      </c>
      <c r="N277" s="9" t="str">
        <f>IFERROR(__xludf.DUMMYFUNCTION("""COMPUTED_VALUE"""),"Sweetened")</f>
        <v>Sweetened</v>
      </c>
      <c r="O277" s="9" t="str">
        <f>IFERROR(__xludf.DUMMYFUNCTION("""COMPUTED_VALUE"""),"Carton")</f>
        <v>Carton</v>
      </c>
      <c r="P277" s="9">
        <f>IFERROR(__xludf.DUMMYFUNCTION("""COMPUTED_VALUE"""),170.0)</f>
        <v>170</v>
      </c>
      <c r="Q277" s="9" t="str">
        <f>IFERROR(__xludf.DUMMYFUNCTION("""COMPUTED_VALUE"""),"Q1'22")</f>
        <v>Q1'22</v>
      </c>
      <c r="R277" s="9">
        <f>IFERROR(__xludf.DUMMYFUNCTION("""COMPUTED_VALUE"""),4.785583892393026)</f>
        <v>4.785583892</v>
      </c>
    </row>
    <row r="278" ht="14.25" customHeight="1">
      <c r="A278" s="3" t="s">
        <v>23</v>
      </c>
      <c r="B278" s="6" t="s">
        <v>38</v>
      </c>
      <c r="C278" s="3" t="s">
        <v>39</v>
      </c>
      <c r="D278" s="3" t="s">
        <v>13</v>
      </c>
      <c r="E278" s="3" t="s">
        <v>14</v>
      </c>
      <c r="F278" s="3">
        <v>110.0</v>
      </c>
      <c r="G278" s="4" t="s">
        <v>19</v>
      </c>
      <c r="H278" s="3">
        <v>1.666862282264386</v>
      </c>
      <c r="K278" s="9" t="str">
        <f>IFERROR(__xludf.DUMMYFUNCTION("""COMPUTED_VALUE"""),"TT Off North")</f>
        <v>TT Off North</v>
      </c>
      <c r="L278" s="9" t="str">
        <f>IFERROR(__xludf.DUMMYFUNCTION("""COMPUTED_VALUE"""),"Joyi")</f>
        <v>Joyi</v>
      </c>
      <c r="M278" s="9" t="str">
        <f>IFERROR(__xludf.DUMMYFUNCTION("""COMPUTED_VALUE"""),"Smartmilk")</f>
        <v>Smartmilk</v>
      </c>
      <c r="N278" s="9" t="str">
        <f>IFERROR(__xludf.DUMMYFUNCTION("""COMPUTED_VALUE"""),"Sweetened")</f>
        <v>Sweetened</v>
      </c>
      <c r="O278" s="9" t="str">
        <f>IFERROR(__xludf.DUMMYFUNCTION("""COMPUTED_VALUE"""),"Carton")</f>
        <v>Carton</v>
      </c>
      <c r="P278" s="9">
        <f>IFERROR(__xludf.DUMMYFUNCTION("""COMPUTED_VALUE"""),170.0)</f>
        <v>170</v>
      </c>
      <c r="Q278" s="9" t="str">
        <f>IFERROR(__xludf.DUMMYFUNCTION("""COMPUTED_VALUE"""),"Q2'22")</f>
        <v>Q2'22</v>
      </c>
      <c r="R278" s="9">
        <f>IFERROR(__xludf.DUMMYFUNCTION("""COMPUTED_VALUE"""),4.0864935945769005)</f>
        <v>4.086493595</v>
      </c>
    </row>
    <row r="279" ht="14.25" customHeight="1">
      <c r="A279" s="3" t="s">
        <v>23</v>
      </c>
      <c r="B279" s="6" t="s">
        <v>38</v>
      </c>
      <c r="C279" s="3" t="s">
        <v>39</v>
      </c>
      <c r="D279" s="3" t="s">
        <v>13</v>
      </c>
      <c r="E279" s="3" t="s">
        <v>14</v>
      </c>
      <c r="F279" s="3">
        <v>110.0</v>
      </c>
      <c r="G279" s="4" t="s">
        <v>20</v>
      </c>
      <c r="H279" s="3">
        <v>1.546912059493997</v>
      </c>
      <c r="K279" s="9" t="str">
        <f>IFERROR(__xludf.DUMMYFUNCTION("""COMPUTED_VALUE"""),"TT Off North")</f>
        <v>TT Off North</v>
      </c>
      <c r="L279" s="9" t="str">
        <f>IFERROR(__xludf.DUMMYFUNCTION("""COMPUTED_VALUE"""),"Joyi")</f>
        <v>Joyi</v>
      </c>
      <c r="M279" s="9" t="str">
        <f>IFERROR(__xludf.DUMMYFUNCTION("""COMPUTED_VALUE"""),"Smartmilk")</f>
        <v>Smartmilk</v>
      </c>
      <c r="N279" s="9" t="str">
        <f>IFERROR(__xludf.DUMMYFUNCTION("""COMPUTED_VALUE"""),"Sweetened")</f>
        <v>Sweetened</v>
      </c>
      <c r="O279" s="9" t="str">
        <f>IFERROR(__xludf.DUMMYFUNCTION("""COMPUTED_VALUE"""),"Carton")</f>
        <v>Carton</v>
      </c>
      <c r="P279" s="9">
        <f>IFERROR(__xludf.DUMMYFUNCTION("""COMPUTED_VALUE"""),170.0)</f>
        <v>170</v>
      </c>
      <c r="Q279" s="9" t="str">
        <f>IFERROR(__xludf.DUMMYFUNCTION("""COMPUTED_VALUE"""),"Q3'22")</f>
        <v>Q3'22</v>
      </c>
      <c r="R279" s="9">
        <f>IFERROR(__xludf.DUMMYFUNCTION("""COMPUTED_VALUE"""),4.392661537226959)</f>
        <v>4.392661537</v>
      </c>
    </row>
    <row r="280" ht="14.25" customHeight="1">
      <c r="A280" s="3" t="s">
        <v>23</v>
      </c>
      <c r="B280" s="6" t="s">
        <v>38</v>
      </c>
      <c r="C280" s="3" t="s">
        <v>39</v>
      </c>
      <c r="D280" s="3" t="s">
        <v>13</v>
      </c>
      <c r="E280" s="3" t="s">
        <v>14</v>
      </c>
      <c r="F280" s="3">
        <v>110.0</v>
      </c>
      <c r="G280" s="4" t="s">
        <v>21</v>
      </c>
      <c r="H280" s="3">
        <v>1.7306662006928215</v>
      </c>
      <c r="K280" s="9" t="str">
        <f>IFERROR(__xludf.DUMMYFUNCTION("""COMPUTED_VALUE"""),"TT Off North")</f>
        <v>TT Off North</v>
      </c>
      <c r="L280" s="9" t="str">
        <f>IFERROR(__xludf.DUMMYFUNCTION("""COMPUTED_VALUE"""),"Joyi")</f>
        <v>Joyi</v>
      </c>
      <c r="M280" s="9" t="str">
        <f>IFERROR(__xludf.DUMMYFUNCTION("""COMPUTED_VALUE"""),"Smartmilk")</f>
        <v>Smartmilk</v>
      </c>
      <c r="N280" s="9" t="str">
        <f>IFERROR(__xludf.DUMMYFUNCTION("""COMPUTED_VALUE"""),"Sweetened")</f>
        <v>Sweetened</v>
      </c>
      <c r="O280" s="9" t="str">
        <f>IFERROR(__xludf.DUMMYFUNCTION("""COMPUTED_VALUE"""),"Carton")</f>
        <v>Carton</v>
      </c>
      <c r="P280" s="9">
        <f>IFERROR(__xludf.DUMMYFUNCTION("""COMPUTED_VALUE"""),170.0)</f>
        <v>170</v>
      </c>
      <c r="Q280" s="9" t="str">
        <f>IFERROR(__xludf.DUMMYFUNCTION("""COMPUTED_VALUE"""),"Q4'22")</f>
        <v>Q4'22</v>
      </c>
      <c r="R280" s="9">
        <f>IFERROR(__xludf.DUMMYFUNCTION("""COMPUTED_VALUE"""),4.520532096779559)</f>
        <v>4.520532097</v>
      </c>
    </row>
    <row r="281" ht="14.25" customHeight="1">
      <c r="A281" s="3" t="s">
        <v>23</v>
      </c>
      <c r="B281" s="6" t="s">
        <v>38</v>
      </c>
      <c r="C281" s="3" t="s">
        <v>39</v>
      </c>
      <c r="D281" s="3" t="s">
        <v>13</v>
      </c>
      <c r="E281" s="3" t="s">
        <v>14</v>
      </c>
      <c r="F281" s="3">
        <v>110.0</v>
      </c>
      <c r="G281" s="4" t="s">
        <v>22</v>
      </c>
      <c r="H281" s="3">
        <v>1.8199909615061873</v>
      </c>
      <c r="K281" s="9" t="str">
        <f>IFERROR(__xludf.DUMMYFUNCTION("""COMPUTED_VALUE"""),"TT Off North")</f>
        <v>TT Off North</v>
      </c>
      <c r="L281" s="9" t="str">
        <f>IFERROR(__xludf.DUMMYFUNCTION("""COMPUTED_VALUE"""),"Joyi")</f>
        <v>Joyi</v>
      </c>
      <c r="M281" s="9" t="str">
        <f>IFERROR(__xludf.DUMMYFUNCTION("""COMPUTED_VALUE"""),"Smartmilk")</f>
        <v>Smartmilk</v>
      </c>
      <c r="N281" s="9" t="str">
        <f>IFERROR(__xludf.DUMMYFUNCTION("""COMPUTED_VALUE"""),"Sweetened")</f>
        <v>Sweetened</v>
      </c>
      <c r="O281" s="9" t="str">
        <f>IFERROR(__xludf.DUMMYFUNCTION("""COMPUTED_VALUE"""),"Carton")</f>
        <v>Carton</v>
      </c>
      <c r="P281" s="9">
        <f>IFERROR(__xludf.DUMMYFUNCTION("""COMPUTED_VALUE"""),170.0)</f>
        <v>170</v>
      </c>
      <c r="Q281" s="9" t="str">
        <f>IFERROR(__xludf.DUMMYFUNCTION("""COMPUTED_VALUE"""),"Q1'23")</f>
        <v>Q1'23</v>
      </c>
      <c r="R281" s="9">
        <f>IFERROR(__xludf.DUMMYFUNCTION("""COMPUTED_VALUE"""),4.705426726834077)</f>
        <v>4.705426727</v>
      </c>
    </row>
    <row r="282" ht="14.25" customHeight="1">
      <c r="A282" s="3" t="s">
        <v>23</v>
      </c>
      <c r="B282" s="6" t="s">
        <v>38</v>
      </c>
      <c r="C282" s="3" t="s">
        <v>39</v>
      </c>
      <c r="D282" s="3" t="s">
        <v>13</v>
      </c>
      <c r="E282" s="3" t="s">
        <v>14</v>
      </c>
      <c r="F282" s="3">
        <v>170.0</v>
      </c>
      <c r="G282" s="4" t="s">
        <v>15</v>
      </c>
      <c r="H282" s="3">
        <v>3.6424405481326207</v>
      </c>
      <c r="K282" s="9" t="str">
        <f>IFERROR(__xludf.DUMMYFUNCTION("""COMPUTED_VALUE"""),"TT Off North")</f>
        <v>TT Off North</v>
      </c>
      <c r="L282" s="9" t="str">
        <f>IFERROR(__xludf.DUMMYFUNCTION("""COMPUTED_VALUE"""),"Joyi")</f>
        <v>Joyi</v>
      </c>
      <c r="M282" s="9" t="str">
        <f>IFERROR(__xludf.DUMMYFUNCTION("""COMPUTED_VALUE"""),"Smartmilk")</f>
        <v>Smartmilk</v>
      </c>
      <c r="N282" s="9" t="str">
        <f>IFERROR(__xludf.DUMMYFUNCTION("""COMPUTED_VALUE"""),"Sweetened")</f>
        <v>Sweetened</v>
      </c>
      <c r="O282" s="9" t="str">
        <f>IFERROR(__xludf.DUMMYFUNCTION("""COMPUTED_VALUE"""),"Carton")</f>
        <v>Carton</v>
      </c>
      <c r="P282" s="9">
        <f>IFERROR(__xludf.DUMMYFUNCTION("""COMPUTED_VALUE"""),170.0)</f>
        <v>170</v>
      </c>
      <c r="Q282" s="9" t="str">
        <f>IFERROR(__xludf.DUMMYFUNCTION("""COMPUTED_VALUE"""),"Q2'23")</f>
        <v>Q2'23</v>
      </c>
      <c r="R282" s="9">
        <f>IFERROR(__xludf.DUMMYFUNCTION("""COMPUTED_VALUE"""),4.33264289991238)</f>
        <v>4.3326429</v>
      </c>
    </row>
    <row r="283" ht="14.25" customHeight="1">
      <c r="A283" s="3" t="s">
        <v>23</v>
      </c>
      <c r="B283" s="6" t="s">
        <v>38</v>
      </c>
      <c r="C283" s="3" t="s">
        <v>39</v>
      </c>
      <c r="D283" s="3" t="s">
        <v>13</v>
      </c>
      <c r="E283" s="3" t="s">
        <v>14</v>
      </c>
      <c r="F283" s="3">
        <v>170.0</v>
      </c>
      <c r="G283" s="4" t="s">
        <v>16</v>
      </c>
      <c r="H283" s="3">
        <v>3.4799596825510175</v>
      </c>
      <c r="K283" s="9" t="str">
        <f>IFERROR(__xludf.DUMMYFUNCTION("""COMPUTED_VALUE"""),"TT Off North")</f>
        <v>TT Off North</v>
      </c>
      <c r="L283" s="9" t="str">
        <f>IFERROR(__xludf.DUMMYFUNCTION("""COMPUTED_VALUE"""),"Joyi")</f>
        <v>Joyi</v>
      </c>
      <c r="M283" s="9" t="str">
        <f>IFERROR(__xludf.DUMMYFUNCTION("""COMPUTED_VALUE"""),"Smartmilk")</f>
        <v>Smartmilk</v>
      </c>
      <c r="N283" s="9" t="str">
        <f>IFERROR(__xludf.DUMMYFUNCTION("""COMPUTED_VALUE"""),"Sweetened")</f>
        <v>Sweetened</v>
      </c>
      <c r="O283" s="9" t="str">
        <f>IFERROR(__xludf.DUMMYFUNCTION("""COMPUTED_VALUE"""),"Carton")</f>
        <v>Carton</v>
      </c>
      <c r="P283" s="9">
        <f>IFERROR(__xludf.DUMMYFUNCTION("""COMPUTED_VALUE"""),170.0)</f>
        <v>170</v>
      </c>
      <c r="Q283" s="9" t="str">
        <f>IFERROR(__xludf.DUMMYFUNCTION("""COMPUTED_VALUE"""),"Q3'23")</f>
        <v>Q3'23</v>
      </c>
      <c r="R283" s="9">
        <f>IFERROR(__xludf.DUMMYFUNCTION("""COMPUTED_VALUE"""),4.343494758882125)</f>
        <v>4.343494759</v>
      </c>
    </row>
    <row r="284" ht="14.25" customHeight="1">
      <c r="A284" s="3" t="s">
        <v>23</v>
      </c>
      <c r="B284" s="6" t="s">
        <v>38</v>
      </c>
      <c r="C284" s="3" t="s">
        <v>39</v>
      </c>
      <c r="D284" s="3" t="s">
        <v>13</v>
      </c>
      <c r="E284" s="3" t="s">
        <v>14</v>
      </c>
      <c r="F284" s="3">
        <v>170.0</v>
      </c>
      <c r="G284" s="4" t="s">
        <v>17</v>
      </c>
      <c r="H284" s="3">
        <v>3.7606860334297707</v>
      </c>
      <c r="K284" s="9" t="str">
        <f>IFERROR(__xludf.DUMMYFUNCTION("""COMPUTED_VALUE"""),"TT Off North")</f>
        <v>TT Off North</v>
      </c>
      <c r="L284" s="9" t="str">
        <f>IFERROR(__xludf.DUMMYFUNCTION("""COMPUTED_VALUE"""),"Joyi")</f>
        <v>Joyi</v>
      </c>
      <c r="M284" s="9" t="str">
        <f>IFERROR(__xludf.DUMMYFUNCTION("""COMPUTED_VALUE"""),"Smartmilk")</f>
        <v>Smartmilk</v>
      </c>
      <c r="N284" s="9" t="str">
        <f>IFERROR(__xludf.DUMMYFUNCTION("""COMPUTED_VALUE"""),"Sweetened")</f>
        <v>Sweetened</v>
      </c>
      <c r="O284" s="9" t="str">
        <f>IFERROR(__xludf.DUMMYFUNCTION("""COMPUTED_VALUE"""),"Carton")</f>
        <v>Carton</v>
      </c>
      <c r="P284" s="9">
        <f>IFERROR(__xludf.DUMMYFUNCTION("""COMPUTED_VALUE"""),170.0)</f>
        <v>170</v>
      </c>
      <c r="Q284" s="9" t="str">
        <f>IFERROR(__xludf.DUMMYFUNCTION("""COMPUTED_VALUE"""),"Q4'23")</f>
        <v>Q4'23</v>
      </c>
      <c r="R284" s="9">
        <f>IFERROR(__xludf.DUMMYFUNCTION("""COMPUTED_VALUE"""),4.5275495496066895)</f>
        <v>4.52754955</v>
      </c>
    </row>
    <row r="285" ht="14.25" customHeight="1">
      <c r="A285" s="3" t="s">
        <v>23</v>
      </c>
      <c r="B285" s="6" t="s">
        <v>38</v>
      </c>
      <c r="C285" s="3" t="s">
        <v>39</v>
      </c>
      <c r="D285" s="3" t="s">
        <v>13</v>
      </c>
      <c r="E285" s="3" t="s">
        <v>14</v>
      </c>
      <c r="F285" s="3">
        <v>170.0</v>
      </c>
      <c r="G285" s="4" t="s">
        <v>18</v>
      </c>
      <c r="H285" s="3">
        <v>3.3780850854650013</v>
      </c>
      <c r="K285" s="9" t="str">
        <f>IFERROR(__xludf.DUMMYFUNCTION("""COMPUTED_VALUE"""),"TT Off North")</f>
        <v>TT Off North</v>
      </c>
      <c r="L285" s="9" t="str">
        <f>IFERROR(__xludf.DUMMYFUNCTION("""COMPUTED_VALUE"""),"Joyi")</f>
        <v>Joyi</v>
      </c>
      <c r="M285" s="9" t="str">
        <f>IFERROR(__xludf.DUMMYFUNCTION("""COMPUTED_VALUE"""),"Star")</f>
        <v>Star</v>
      </c>
      <c r="N285" s="9" t="str">
        <f>IFERROR(__xludf.DUMMYFUNCTION("""COMPUTED_VALUE"""),"Strawberry")</f>
        <v>Strawberry</v>
      </c>
      <c r="O285" s="9" t="str">
        <f>IFERROR(__xludf.DUMMYFUNCTION("""COMPUTED_VALUE"""),"Carton")</f>
        <v>Carton</v>
      </c>
      <c r="P285" s="9">
        <f>IFERROR(__xludf.DUMMYFUNCTION("""COMPUTED_VALUE"""),180.0)</f>
        <v>180</v>
      </c>
      <c r="Q285" s="9" t="str">
        <f>IFERROR(__xludf.DUMMYFUNCTION("""COMPUTED_VALUE"""),"Q1'22")</f>
        <v>Q1'22</v>
      </c>
      <c r="R285" s="9">
        <f>IFERROR(__xludf.DUMMYFUNCTION("""COMPUTED_VALUE"""),3.2513449055442836)</f>
        <v>3.251344906</v>
      </c>
    </row>
    <row r="286" ht="14.25" customHeight="1">
      <c r="A286" s="3" t="s">
        <v>23</v>
      </c>
      <c r="B286" s="6" t="s">
        <v>38</v>
      </c>
      <c r="C286" s="3" t="s">
        <v>39</v>
      </c>
      <c r="D286" s="3" t="s">
        <v>13</v>
      </c>
      <c r="E286" s="3" t="s">
        <v>14</v>
      </c>
      <c r="F286" s="3">
        <v>170.0</v>
      </c>
      <c r="G286" s="4" t="s">
        <v>19</v>
      </c>
      <c r="H286" s="3">
        <v>3.2031264515034774</v>
      </c>
      <c r="K286" s="9" t="str">
        <f>IFERROR(__xludf.DUMMYFUNCTION("""COMPUTED_VALUE"""),"TT Off North")</f>
        <v>TT Off North</v>
      </c>
      <c r="L286" s="9" t="str">
        <f>IFERROR(__xludf.DUMMYFUNCTION("""COMPUTED_VALUE"""),"Joyi")</f>
        <v>Joyi</v>
      </c>
      <c r="M286" s="9" t="str">
        <f>IFERROR(__xludf.DUMMYFUNCTION("""COMPUTED_VALUE"""),"Star")</f>
        <v>Star</v>
      </c>
      <c r="N286" s="9" t="str">
        <f>IFERROR(__xludf.DUMMYFUNCTION("""COMPUTED_VALUE"""),"Strawberry")</f>
        <v>Strawberry</v>
      </c>
      <c r="O286" s="9" t="str">
        <f>IFERROR(__xludf.DUMMYFUNCTION("""COMPUTED_VALUE"""),"Carton")</f>
        <v>Carton</v>
      </c>
      <c r="P286" s="9">
        <f>IFERROR(__xludf.DUMMYFUNCTION("""COMPUTED_VALUE"""),180.0)</f>
        <v>180</v>
      </c>
      <c r="Q286" s="9" t="str">
        <f>IFERROR(__xludf.DUMMYFUNCTION("""COMPUTED_VALUE"""),"Q2'22")</f>
        <v>Q2'22</v>
      </c>
      <c r="R286" s="9">
        <f>IFERROR(__xludf.DUMMYFUNCTION("""COMPUTED_VALUE"""),3.7147590884242314)</f>
        <v>3.714759088</v>
      </c>
    </row>
    <row r="287" ht="14.25" customHeight="1">
      <c r="A287" s="3" t="s">
        <v>23</v>
      </c>
      <c r="B287" s="6" t="s">
        <v>38</v>
      </c>
      <c r="C287" s="3" t="s">
        <v>39</v>
      </c>
      <c r="D287" s="3" t="s">
        <v>13</v>
      </c>
      <c r="E287" s="3" t="s">
        <v>14</v>
      </c>
      <c r="F287" s="3">
        <v>170.0</v>
      </c>
      <c r="G287" s="4" t="s">
        <v>20</v>
      </c>
      <c r="H287" s="3">
        <v>2.900425759163907</v>
      </c>
      <c r="K287" s="9" t="str">
        <f>IFERROR(__xludf.DUMMYFUNCTION("""COMPUTED_VALUE"""),"TT Off North")</f>
        <v>TT Off North</v>
      </c>
      <c r="L287" s="9" t="str">
        <f>IFERROR(__xludf.DUMMYFUNCTION("""COMPUTED_VALUE"""),"Joyi")</f>
        <v>Joyi</v>
      </c>
      <c r="M287" s="9" t="str">
        <f>IFERROR(__xludf.DUMMYFUNCTION("""COMPUTED_VALUE"""),"Star")</f>
        <v>Star</v>
      </c>
      <c r="N287" s="9" t="str">
        <f>IFERROR(__xludf.DUMMYFUNCTION("""COMPUTED_VALUE"""),"Strawberry")</f>
        <v>Strawberry</v>
      </c>
      <c r="O287" s="9" t="str">
        <f>IFERROR(__xludf.DUMMYFUNCTION("""COMPUTED_VALUE"""),"Carton")</f>
        <v>Carton</v>
      </c>
      <c r="P287" s="9">
        <f>IFERROR(__xludf.DUMMYFUNCTION("""COMPUTED_VALUE"""),180.0)</f>
        <v>180</v>
      </c>
      <c r="Q287" s="9" t="str">
        <f>IFERROR(__xludf.DUMMYFUNCTION("""COMPUTED_VALUE"""),"Q3'22")</f>
        <v>Q3'22</v>
      </c>
      <c r="R287" s="9">
        <f>IFERROR(__xludf.DUMMYFUNCTION("""COMPUTED_VALUE"""),3.56427609753718)</f>
        <v>3.564276098</v>
      </c>
    </row>
    <row r="288" ht="14.25" customHeight="1">
      <c r="A288" s="3" t="s">
        <v>23</v>
      </c>
      <c r="B288" s="6" t="s">
        <v>38</v>
      </c>
      <c r="C288" s="3" t="s">
        <v>39</v>
      </c>
      <c r="D288" s="3" t="s">
        <v>13</v>
      </c>
      <c r="E288" s="3" t="s">
        <v>14</v>
      </c>
      <c r="F288" s="3">
        <v>170.0</v>
      </c>
      <c r="G288" s="4" t="s">
        <v>21</v>
      </c>
      <c r="H288" s="3">
        <v>2.9415076148253707</v>
      </c>
      <c r="K288" s="9" t="str">
        <f>IFERROR(__xludf.DUMMYFUNCTION("""COMPUTED_VALUE"""),"TT Off North")</f>
        <v>TT Off North</v>
      </c>
      <c r="L288" s="9" t="str">
        <f>IFERROR(__xludf.DUMMYFUNCTION("""COMPUTED_VALUE"""),"Joyi")</f>
        <v>Joyi</v>
      </c>
      <c r="M288" s="9" t="str">
        <f>IFERROR(__xludf.DUMMYFUNCTION("""COMPUTED_VALUE"""),"Star")</f>
        <v>Star</v>
      </c>
      <c r="N288" s="9" t="str">
        <f>IFERROR(__xludf.DUMMYFUNCTION("""COMPUTED_VALUE"""),"Strawberry")</f>
        <v>Strawberry</v>
      </c>
      <c r="O288" s="9" t="str">
        <f>IFERROR(__xludf.DUMMYFUNCTION("""COMPUTED_VALUE"""),"Carton")</f>
        <v>Carton</v>
      </c>
      <c r="P288" s="9">
        <f>IFERROR(__xludf.DUMMYFUNCTION("""COMPUTED_VALUE"""),180.0)</f>
        <v>180</v>
      </c>
      <c r="Q288" s="9" t="str">
        <f>IFERROR(__xludf.DUMMYFUNCTION("""COMPUTED_VALUE"""),"Q4'22")</f>
        <v>Q4'22</v>
      </c>
      <c r="R288" s="9">
        <f>IFERROR(__xludf.DUMMYFUNCTION("""COMPUTED_VALUE"""),3.546096087914447)</f>
        <v>3.546096088</v>
      </c>
    </row>
    <row r="289" ht="14.25" customHeight="1">
      <c r="A289" s="3" t="s">
        <v>23</v>
      </c>
      <c r="B289" s="6" t="s">
        <v>38</v>
      </c>
      <c r="C289" s="3" t="s">
        <v>39</v>
      </c>
      <c r="D289" s="3" t="s">
        <v>13</v>
      </c>
      <c r="E289" s="3" t="s">
        <v>14</v>
      </c>
      <c r="F289" s="3">
        <v>170.0</v>
      </c>
      <c r="G289" s="4" t="s">
        <v>22</v>
      </c>
      <c r="H289" s="3">
        <v>3.174268585017411</v>
      </c>
      <c r="K289" s="9" t="str">
        <f>IFERROR(__xludf.DUMMYFUNCTION("""COMPUTED_VALUE"""),"TT Off North")</f>
        <v>TT Off North</v>
      </c>
      <c r="L289" s="9" t="str">
        <f>IFERROR(__xludf.DUMMYFUNCTION("""COMPUTED_VALUE"""),"Joyi")</f>
        <v>Joyi</v>
      </c>
      <c r="M289" s="9" t="str">
        <f>IFERROR(__xludf.DUMMYFUNCTION("""COMPUTED_VALUE"""),"Star")</f>
        <v>Star</v>
      </c>
      <c r="N289" s="9" t="str">
        <f>IFERROR(__xludf.DUMMYFUNCTION("""COMPUTED_VALUE"""),"Strawberry")</f>
        <v>Strawberry</v>
      </c>
      <c r="O289" s="9" t="str">
        <f>IFERROR(__xludf.DUMMYFUNCTION("""COMPUTED_VALUE"""),"Carton")</f>
        <v>Carton</v>
      </c>
      <c r="P289" s="9">
        <f>IFERROR(__xludf.DUMMYFUNCTION("""COMPUTED_VALUE"""),180.0)</f>
        <v>180</v>
      </c>
      <c r="Q289" s="9" t="str">
        <f>IFERROR(__xludf.DUMMYFUNCTION("""COMPUTED_VALUE"""),"Q1'23")</f>
        <v>Q1'23</v>
      </c>
      <c r="R289" s="9">
        <f>IFERROR(__xludf.DUMMYFUNCTION("""COMPUTED_VALUE"""),2.9079344030062937)</f>
        <v>2.907934403</v>
      </c>
    </row>
    <row r="290" ht="14.25" customHeight="1">
      <c r="A290" s="3" t="s">
        <v>23</v>
      </c>
      <c r="B290" s="6" t="s">
        <v>38</v>
      </c>
      <c r="C290" s="3" t="s">
        <v>40</v>
      </c>
      <c r="D290" s="3" t="s">
        <v>31</v>
      </c>
      <c r="E290" s="3" t="s">
        <v>14</v>
      </c>
      <c r="F290" s="3">
        <v>180.0</v>
      </c>
      <c r="G290" s="4" t="s">
        <v>15</v>
      </c>
      <c r="H290" s="3">
        <v>1.9576578641794895</v>
      </c>
      <c r="K290" s="9" t="str">
        <f>IFERROR(__xludf.DUMMYFUNCTION("""COMPUTED_VALUE"""),"TT Off North")</f>
        <v>TT Off North</v>
      </c>
      <c r="L290" s="9" t="str">
        <f>IFERROR(__xludf.DUMMYFUNCTION("""COMPUTED_VALUE"""),"Joyi")</f>
        <v>Joyi</v>
      </c>
      <c r="M290" s="9" t="str">
        <f>IFERROR(__xludf.DUMMYFUNCTION("""COMPUTED_VALUE"""),"Star")</f>
        <v>Star</v>
      </c>
      <c r="N290" s="9" t="str">
        <f>IFERROR(__xludf.DUMMYFUNCTION("""COMPUTED_VALUE"""),"Strawberry")</f>
        <v>Strawberry</v>
      </c>
      <c r="O290" s="9" t="str">
        <f>IFERROR(__xludf.DUMMYFUNCTION("""COMPUTED_VALUE"""),"Carton")</f>
        <v>Carton</v>
      </c>
      <c r="P290" s="9">
        <f>IFERROR(__xludf.DUMMYFUNCTION("""COMPUTED_VALUE"""),180.0)</f>
        <v>180</v>
      </c>
      <c r="Q290" s="9" t="str">
        <f>IFERROR(__xludf.DUMMYFUNCTION("""COMPUTED_VALUE"""),"Q2'23")</f>
        <v>Q2'23</v>
      </c>
      <c r="R290" s="9">
        <f>IFERROR(__xludf.DUMMYFUNCTION("""COMPUTED_VALUE"""),2.4386950836955026)</f>
        <v>2.438695084</v>
      </c>
    </row>
    <row r="291" ht="14.25" customHeight="1">
      <c r="A291" s="3" t="s">
        <v>23</v>
      </c>
      <c r="B291" s="6" t="s">
        <v>38</v>
      </c>
      <c r="C291" s="3" t="s">
        <v>40</v>
      </c>
      <c r="D291" s="3" t="s">
        <v>31</v>
      </c>
      <c r="E291" s="3" t="s">
        <v>14</v>
      </c>
      <c r="F291" s="3">
        <v>180.0</v>
      </c>
      <c r="G291" s="4" t="s">
        <v>16</v>
      </c>
      <c r="H291" s="3">
        <v>2.0873570398730124</v>
      </c>
      <c r="K291" s="9" t="str">
        <f>IFERROR(__xludf.DUMMYFUNCTION("""COMPUTED_VALUE"""),"TT Off North")</f>
        <v>TT Off North</v>
      </c>
      <c r="L291" s="9" t="str">
        <f>IFERROR(__xludf.DUMMYFUNCTION("""COMPUTED_VALUE"""),"Joyi")</f>
        <v>Joyi</v>
      </c>
      <c r="M291" s="9" t="str">
        <f>IFERROR(__xludf.DUMMYFUNCTION("""COMPUTED_VALUE"""),"Star")</f>
        <v>Star</v>
      </c>
      <c r="N291" s="9" t="str">
        <f>IFERROR(__xludf.DUMMYFUNCTION("""COMPUTED_VALUE"""),"Strawberry")</f>
        <v>Strawberry</v>
      </c>
      <c r="O291" s="9" t="str">
        <f>IFERROR(__xludf.DUMMYFUNCTION("""COMPUTED_VALUE"""),"Carton")</f>
        <v>Carton</v>
      </c>
      <c r="P291" s="9">
        <f>IFERROR(__xludf.DUMMYFUNCTION("""COMPUTED_VALUE"""),180.0)</f>
        <v>180</v>
      </c>
      <c r="Q291" s="9" t="str">
        <f>IFERROR(__xludf.DUMMYFUNCTION("""COMPUTED_VALUE"""),"Q3'23")</f>
        <v>Q3'23</v>
      </c>
      <c r="R291" s="9">
        <f>IFERROR(__xludf.DUMMYFUNCTION("""COMPUTED_VALUE"""),3.377412606136333)</f>
        <v>3.377412606</v>
      </c>
    </row>
    <row r="292" ht="14.25" customHeight="1">
      <c r="A292" s="3" t="s">
        <v>23</v>
      </c>
      <c r="B292" s="6" t="s">
        <v>38</v>
      </c>
      <c r="C292" s="3" t="s">
        <v>40</v>
      </c>
      <c r="D292" s="3" t="s">
        <v>31</v>
      </c>
      <c r="E292" s="3" t="s">
        <v>14</v>
      </c>
      <c r="F292" s="3">
        <v>180.0</v>
      </c>
      <c r="G292" s="4" t="s">
        <v>17</v>
      </c>
      <c r="H292" s="3">
        <v>2.0419998687413266</v>
      </c>
      <c r="K292" s="9" t="str">
        <f>IFERROR(__xludf.DUMMYFUNCTION("""COMPUTED_VALUE"""),"TT Off North")</f>
        <v>TT Off North</v>
      </c>
      <c r="L292" s="9" t="str">
        <f>IFERROR(__xludf.DUMMYFUNCTION("""COMPUTED_VALUE"""),"Joyi")</f>
        <v>Joyi</v>
      </c>
      <c r="M292" s="9" t="str">
        <f>IFERROR(__xludf.DUMMYFUNCTION("""COMPUTED_VALUE"""),"Star")</f>
        <v>Star</v>
      </c>
      <c r="N292" s="9" t="str">
        <f>IFERROR(__xludf.DUMMYFUNCTION("""COMPUTED_VALUE"""),"Strawberry")</f>
        <v>Strawberry</v>
      </c>
      <c r="O292" s="9" t="str">
        <f>IFERROR(__xludf.DUMMYFUNCTION("""COMPUTED_VALUE"""),"Carton")</f>
        <v>Carton</v>
      </c>
      <c r="P292" s="9">
        <f>IFERROR(__xludf.DUMMYFUNCTION("""COMPUTED_VALUE"""),180.0)</f>
        <v>180</v>
      </c>
      <c r="Q292" s="9" t="str">
        <f>IFERROR(__xludf.DUMMYFUNCTION("""COMPUTED_VALUE"""),"Q4'23")</f>
        <v>Q4'23</v>
      </c>
      <c r="R292" s="9">
        <f>IFERROR(__xludf.DUMMYFUNCTION("""COMPUTED_VALUE"""),2.5094820950622476)</f>
        <v>2.509482095</v>
      </c>
    </row>
    <row r="293" ht="14.25" customHeight="1">
      <c r="A293" s="3" t="s">
        <v>23</v>
      </c>
      <c r="B293" s="6" t="s">
        <v>38</v>
      </c>
      <c r="C293" s="3" t="s">
        <v>40</v>
      </c>
      <c r="D293" s="3" t="s">
        <v>31</v>
      </c>
      <c r="E293" s="3" t="s">
        <v>14</v>
      </c>
      <c r="F293" s="3">
        <v>180.0</v>
      </c>
      <c r="G293" s="4" t="s">
        <v>18</v>
      </c>
      <c r="H293" s="3">
        <v>1.987050009629121</v>
      </c>
      <c r="K293" s="9" t="str">
        <f>IFERROR(__xludf.DUMMYFUNCTION("""COMPUTED_VALUE"""),"TT Off North")</f>
        <v>TT Off North</v>
      </c>
      <c r="L293" s="9" t="str">
        <f>IFERROR(__xludf.DUMMYFUNCTION("""COMPUTED_VALUE"""),"Joyi")</f>
        <v>Joyi</v>
      </c>
      <c r="M293" s="9" t="str">
        <f>IFERROR(__xludf.DUMMYFUNCTION("""COMPUTED_VALUE"""),"Star")</f>
        <v>Star</v>
      </c>
      <c r="N293" s="9" t="str">
        <f>IFERROR(__xludf.DUMMYFUNCTION("""COMPUTED_VALUE"""),"Sweetened")</f>
        <v>Sweetened</v>
      </c>
      <c r="O293" s="9" t="str">
        <f>IFERROR(__xludf.DUMMYFUNCTION("""COMPUTED_VALUE"""),"Carton")</f>
        <v>Carton</v>
      </c>
      <c r="P293" s="9">
        <f>IFERROR(__xludf.DUMMYFUNCTION("""COMPUTED_VALUE"""),110.0)</f>
        <v>110</v>
      </c>
      <c r="Q293" s="9" t="str">
        <f>IFERROR(__xludf.DUMMYFUNCTION("""COMPUTED_VALUE"""),"Q1'22")</f>
        <v>Q1'22</v>
      </c>
      <c r="R293" s="9">
        <f>IFERROR(__xludf.DUMMYFUNCTION("""COMPUTED_VALUE"""),1.787049793895417)</f>
        <v>1.787049794</v>
      </c>
    </row>
    <row r="294" ht="14.25" customHeight="1">
      <c r="A294" s="3" t="s">
        <v>23</v>
      </c>
      <c r="B294" s="6" t="s">
        <v>38</v>
      </c>
      <c r="C294" s="3" t="s">
        <v>40</v>
      </c>
      <c r="D294" s="3" t="s">
        <v>31</v>
      </c>
      <c r="E294" s="3" t="s">
        <v>14</v>
      </c>
      <c r="F294" s="3">
        <v>180.0</v>
      </c>
      <c r="G294" s="4" t="s">
        <v>19</v>
      </c>
      <c r="H294" s="3">
        <v>1.6730830023797443</v>
      </c>
      <c r="K294" s="9" t="str">
        <f>IFERROR(__xludf.DUMMYFUNCTION("""COMPUTED_VALUE"""),"TT Off North")</f>
        <v>TT Off North</v>
      </c>
      <c r="L294" s="9" t="str">
        <f>IFERROR(__xludf.DUMMYFUNCTION("""COMPUTED_VALUE"""),"Joyi")</f>
        <v>Joyi</v>
      </c>
      <c r="M294" s="9" t="str">
        <f>IFERROR(__xludf.DUMMYFUNCTION("""COMPUTED_VALUE"""),"Star")</f>
        <v>Star</v>
      </c>
      <c r="N294" s="9" t="str">
        <f>IFERROR(__xludf.DUMMYFUNCTION("""COMPUTED_VALUE"""),"Sweetened")</f>
        <v>Sweetened</v>
      </c>
      <c r="O294" s="9" t="str">
        <f>IFERROR(__xludf.DUMMYFUNCTION("""COMPUTED_VALUE"""),"Carton")</f>
        <v>Carton</v>
      </c>
      <c r="P294" s="9">
        <f>IFERROR(__xludf.DUMMYFUNCTION("""COMPUTED_VALUE"""),110.0)</f>
        <v>110</v>
      </c>
      <c r="Q294" s="9" t="str">
        <f>IFERROR(__xludf.DUMMYFUNCTION("""COMPUTED_VALUE"""),"Q2'22")</f>
        <v>Q2'22</v>
      </c>
      <c r="R294" s="9">
        <f>IFERROR(__xludf.DUMMYFUNCTION("""COMPUTED_VALUE"""),2.2192640918283173)</f>
        <v>2.219264092</v>
      </c>
    </row>
    <row r="295" ht="14.25" customHeight="1">
      <c r="A295" s="3" t="s">
        <v>23</v>
      </c>
      <c r="B295" s="6" t="s">
        <v>38</v>
      </c>
      <c r="C295" s="3" t="s">
        <v>40</v>
      </c>
      <c r="D295" s="3" t="s">
        <v>31</v>
      </c>
      <c r="E295" s="3" t="s">
        <v>14</v>
      </c>
      <c r="F295" s="3">
        <v>180.0</v>
      </c>
      <c r="G295" s="4" t="s">
        <v>20</v>
      </c>
      <c r="H295" s="3">
        <v>1.3949512235409018</v>
      </c>
      <c r="K295" s="9" t="str">
        <f>IFERROR(__xludf.DUMMYFUNCTION("""COMPUTED_VALUE"""),"TT Off North")</f>
        <v>TT Off North</v>
      </c>
      <c r="L295" s="9" t="str">
        <f>IFERROR(__xludf.DUMMYFUNCTION("""COMPUTED_VALUE"""),"Joyi")</f>
        <v>Joyi</v>
      </c>
      <c r="M295" s="9" t="str">
        <f>IFERROR(__xludf.DUMMYFUNCTION("""COMPUTED_VALUE"""),"Star")</f>
        <v>Star</v>
      </c>
      <c r="N295" s="9" t="str">
        <f>IFERROR(__xludf.DUMMYFUNCTION("""COMPUTED_VALUE"""),"Sweetened")</f>
        <v>Sweetened</v>
      </c>
      <c r="O295" s="9" t="str">
        <f>IFERROR(__xludf.DUMMYFUNCTION("""COMPUTED_VALUE"""),"Carton")</f>
        <v>Carton</v>
      </c>
      <c r="P295" s="9">
        <f>IFERROR(__xludf.DUMMYFUNCTION("""COMPUTED_VALUE"""),110.0)</f>
        <v>110</v>
      </c>
      <c r="Q295" s="9" t="str">
        <f>IFERROR(__xludf.DUMMYFUNCTION("""COMPUTED_VALUE"""),"Q3'22")</f>
        <v>Q3'22</v>
      </c>
      <c r="R295" s="9">
        <f>IFERROR(__xludf.DUMMYFUNCTION("""COMPUTED_VALUE"""),2.2052162973069023)</f>
        <v>2.205216297</v>
      </c>
    </row>
    <row r="296" ht="14.25" customHeight="1">
      <c r="A296" s="3" t="s">
        <v>23</v>
      </c>
      <c r="B296" s="6" t="s">
        <v>38</v>
      </c>
      <c r="C296" s="3" t="s">
        <v>40</v>
      </c>
      <c r="D296" s="3" t="s">
        <v>31</v>
      </c>
      <c r="E296" s="3" t="s">
        <v>14</v>
      </c>
      <c r="F296" s="3">
        <v>180.0</v>
      </c>
      <c r="G296" s="4" t="s">
        <v>21</v>
      </c>
      <c r="H296" s="3">
        <v>1.516674803717773</v>
      </c>
      <c r="K296" s="9" t="str">
        <f>IFERROR(__xludf.DUMMYFUNCTION("""COMPUTED_VALUE"""),"TT Off North")</f>
        <v>TT Off North</v>
      </c>
      <c r="L296" s="9" t="str">
        <f>IFERROR(__xludf.DUMMYFUNCTION("""COMPUTED_VALUE"""),"Joyi")</f>
        <v>Joyi</v>
      </c>
      <c r="M296" s="9" t="str">
        <f>IFERROR(__xludf.DUMMYFUNCTION("""COMPUTED_VALUE"""),"Star")</f>
        <v>Star</v>
      </c>
      <c r="N296" s="9" t="str">
        <f>IFERROR(__xludf.DUMMYFUNCTION("""COMPUTED_VALUE"""),"Sweetened")</f>
        <v>Sweetened</v>
      </c>
      <c r="O296" s="9" t="str">
        <f>IFERROR(__xludf.DUMMYFUNCTION("""COMPUTED_VALUE"""),"Carton")</f>
        <v>Carton</v>
      </c>
      <c r="P296" s="9">
        <f>IFERROR(__xludf.DUMMYFUNCTION("""COMPUTED_VALUE"""),110.0)</f>
        <v>110</v>
      </c>
      <c r="Q296" s="9" t="str">
        <f>IFERROR(__xludf.DUMMYFUNCTION("""COMPUTED_VALUE"""),"Q4'22")</f>
        <v>Q4'22</v>
      </c>
      <c r="R296" s="9">
        <f>IFERROR(__xludf.DUMMYFUNCTION("""COMPUTED_VALUE"""),2.37065191897448)</f>
        <v>2.370651919</v>
      </c>
    </row>
    <row r="297" ht="14.25" customHeight="1">
      <c r="A297" s="3" t="s">
        <v>23</v>
      </c>
      <c r="B297" s="6" t="s">
        <v>38</v>
      </c>
      <c r="C297" s="3" t="s">
        <v>40</v>
      </c>
      <c r="D297" s="3" t="s">
        <v>31</v>
      </c>
      <c r="E297" s="3" t="s">
        <v>14</v>
      </c>
      <c r="F297" s="3">
        <v>180.0</v>
      </c>
      <c r="G297" s="4" t="s">
        <v>22</v>
      </c>
      <c r="H297" s="3">
        <v>1.4047115276305593</v>
      </c>
      <c r="K297" s="9" t="str">
        <f>IFERROR(__xludf.DUMMYFUNCTION("""COMPUTED_VALUE"""),"TT Off North")</f>
        <v>TT Off North</v>
      </c>
      <c r="L297" s="9" t="str">
        <f>IFERROR(__xludf.DUMMYFUNCTION("""COMPUTED_VALUE"""),"Joyi")</f>
        <v>Joyi</v>
      </c>
      <c r="M297" s="9" t="str">
        <f>IFERROR(__xludf.DUMMYFUNCTION("""COMPUTED_VALUE"""),"Star")</f>
        <v>Star</v>
      </c>
      <c r="N297" s="9" t="str">
        <f>IFERROR(__xludf.DUMMYFUNCTION("""COMPUTED_VALUE"""),"Sweetened")</f>
        <v>Sweetened</v>
      </c>
      <c r="O297" s="9" t="str">
        <f>IFERROR(__xludf.DUMMYFUNCTION("""COMPUTED_VALUE"""),"Carton")</f>
        <v>Carton</v>
      </c>
      <c r="P297" s="9">
        <f>IFERROR(__xludf.DUMMYFUNCTION("""COMPUTED_VALUE"""),110.0)</f>
        <v>110</v>
      </c>
      <c r="Q297" s="9" t="str">
        <f>IFERROR(__xludf.DUMMYFUNCTION("""COMPUTED_VALUE"""),"Q1'23")</f>
        <v>Q1'23</v>
      </c>
      <c r="R297" s="9">
        <f>IFERROR(__xludf.DUMMYFUNCTION("""COMPUTED_VALUE"""),2.089535308670603)</f>
        <v>2.089535309</v>
      </c>
    </row>
    <row r="298" ht="14.25" customHeight="1">
      <c r="A298" s="3" t="s">
        <v>23</v>
      </c>
      <c r="B298" s="6" t="s">
        <v>38</v>
      </c>
      <c r="C298" s="3" t="s">
        <v>40</v>
      </c>
      <c r="D298" s="3" t="s">
        <v>13</v>
      </c>
      <c r="E298" s="3" t="s">
        <v>14</v>
      </c>
      <c r="F298" s="3">
        <v>110.0</v>
      </c>
      <c r="G298" s="4" t="s">
        <v>15</v>
      </c>
      <c r="H298" s="3">
        <v>2.197626875276329</v>
      </c>
      <c r="K298" s="9" t="str">
        <f>IFERROR(__xludf.DUMMYFUNCTION("""COMPUTED_VALUE"""),"TT Off North")</f>
        <v>TT Off North</v>
      </c>
      <c r="L298" s="9" t="str">
        <f>IFERROR(__xludf.DUMMYFUNCTION("""COMPUTED_VALUE"""),"Joyi")</f>
        <v>Joyi</v>
      </c>
      <c r="M298" s="9" t="str">
        <f>IFERROR(__xludf.DUMMYFUNCTION("""COMPUTED_VALUE"""),"Star")</f>
        <v>Star</v>
      </c>
      <c r="N298" s="9" t="str">
        <f>IFERROR(__xludf.DUMMYFUNCTION("""COMPUTED_VALUE"""),"Sweetened")</f>
        <v>Sweetened</v>
      </c>
      <c r="O298" s="9" t="str">
        <f>IFERROR(__xludf.DUMMYFUNCTION("""COMPUTED_VALUE"""),"Carton")</f>
        <v>Carton</v>
      </c>
      <c r="P298" s="9">
        <f>IFERROR(__xludf.DUMMYFUNCTION("""COMPUTED_VALUE"""),110.0)</f>
        <v>110</v>
      </c>
      <c r="Q298" s="9" t="str">
        <f>IFERROR(__xludf.DUMMYFUNCTION("""COMPUTED_VALUE"""),"Q2'23")</f>
        <v>Q2'23</v>
      </c>
      <c r="R298" s="9">
        <f>IFERROR(__xludf.DUMMYFUNCTION("""COMPUTED_VALUE"""),1.3710166326652418)</f>
        <v>1.371016633</v>
      </c>
    </row>
    <row r="299" ht="14.25" customHeight="1">
      <c r="A299" s="3" t="s">
        <v>23</v>
      </c>
      <c r="B299" s="6" t="s">
        <v>38</v>
      </c>
      <c r="C299" s="3" t="s">
        <v>40</v>
      </c>
      <c r="D299" s="3" t="s">
        <v>13</v>
      </c>
      <c r="E299" s="3" t="s">
        <v>14</v>
      </c>
      <c r="F299" s="3">
        <v>110.0</v>
      </c>
      <c r="G299" s="4" t="s">
        <v>16</v>
      </c>
      <c r="H299" s="3">
        <v>2.3792017718879865</v>
      </c>
      <c r="K299" s="9" t="str">
        <f>IFERROR(__xludf.DUMMYFUNCTION("""COMPUTED_VALUE"""),"TT Off North")</f>
        <v>TT Off North</v>
      </c>
      <c r="L299" s="9" t="str">
        <f>IFERROR(__xludf.DUMMYFUNCTION("""COMPUTED_VALUE"""),"Joyi")</f>
        <v>Joyi</v>
      </c>
      <c r="M299" s="9" t="str">
        <f>IFERROR(__xludf.DUMMYFUNCTION("""COMPUTED_VALUE"""),"Star")</f>
        <v>Star</v>
      </c>
      <c r="N299" s="9" t="str">
        <f>IFERROR(__xludf.DUMMYFUNCTION("""COMPUTED_VALUE"""),"Sweetened")</f>
        <v>Sweetened</v>
      </c>
      <c r="O299" s="9" t="str">
        <f>IFERROR(__xludf.DUMMYFUNCTION("""COMPUTED_VALUE"""),"Carton")</f>
        <v>Carton</v>
      </c>
      <c r="P299" s="9">
        <f>IFERROR(__xludf.DUMMYFUNCTION("""COMPUTED_VALUE"""),110.0)</f>
        <v>110</v>
      </c>
      <c r="Q299" s="9" t="str">
        <f>IFERROR(__xludf.DUMMYFUNCTION("""COMPUTED_VALUE"""),"Q3'23")</f>
        <v>Q3'23</v>
      </c>
      <c r="R299" s="9">
        <f>IFERROR(__xludf.DUMMYFUNCTION("""COMPUTED_VALUE"""),1.4224620545069593)</f>
        <v>1.422462055</v>
      </c>
    </row>
    <row r="300" ht="14.25" customHeight="1">
      <c r="A300" s="3" t="s">
        <v>23</v>
      </c>
      <c r="B300" s="6" t="s">
        <v>38</v>
      </c>
      <c r="C300" s="3" t="s">
        <v>40</v>
      </c>
      <c r="D300" s="3" t="s">
        <v>13</v>
      </c>
      <c r="E300" s="3" t="s">
        <v>14</v>
      </c>
      <c r="F300" s="3">
        <v>110.0</v>
      </c>
      <c r="G300" s="4" t="s">
        <v>17</v>
      </c>
      <c r="H300" s="3">
        <v>2.239311263769952</v>
      </c>
      <c r="K300" s="9" t="str">
        <f>IFERROR(__xludf.DUMMYFUNCTION("""COMPUTED_VALUE"""),"TT Off North")</f>
        <v>TT Off North</v>
      </c>
      <c r="L300" s="9" t="str">
        <f>IFERROR(__xludf.DUMMYFUNCTION("""COMPUTED_VALUE"""),"Joyi")</f>
        <v>Joyi</v>
      </c>
      <c r="M300" s="9" t="str">
        <f>IFERROR(__xludf.DUMMYFUNCTION("""COMPUTED_VALUE"""),"Star")</f>
        <v>Star</v>
      </c>
      <c r="N300" s="9" t="str">
        <f>IFERROR(__xludf.DUMMYFUNCTION("""COMPUTED_VALUE"""),"Sweetened")</f>
        <v>Sweetened</v>
      </c>
      <c r="O300" s="9" t="str">
        <f>IFERROR(__xludf.DUMMYFUNCTION("""COMPUTED_VALUE"""),"Carton")</f>
        <v>Carton</v>
      </c>
      <c r="P300" s="9">
        <f>IFERROR(__xludf.DUMMYFUNCTION("""COMPUTED_VALUE"""),110.0)</f>
        <v>110</v>
      </c>
      <c r="Q300" s="9" t="str">
        <f>IFERROR(__xludf.DUMMYFUNCTION("""COMPUTED_VALUE"""),"Q4'23")</f>
        <v>Q4'23</v>
      </c>
      <c r="R300" s="9">
        <f>IFERROR(__xludf.DUMMYFUNCTION("""COMPUTED_VALUE"""),1.2764712397509752)</f>
        <v>1.27647124</v>
      </c>
    </row>
    <row r="301" ht="14.25" customHeight="1">
      <c r="A301" s="3" t="s">
        <v>23</v>
      </c>
      <c r="B301" s="6" t="s">
        <v>38</v>
      </c>
      <c r="C301" s="3" t="s">
        <v>40</v>
      </c>
      <c r="D301" s="3" t="s">
        <v>13</v>
      </c>
      <c r="E301" s="3" t="s">
        <v>14</v>
      </c>
      <c r="F301" s="3">
        <v>110.0</v>
      </c>
      <c r="G301" s="4" t="s">
        <v>18</v>
      </c>
      <c r="H301" s="3">
        <v>2.0492708669835658</v>
      </c>
      <c r="K301" s="9" t="str">
        <f>IFERROR(__xludf.DUMMYFUNCTION("""COMPUTED_VALUE"""),"TT Off North")</f>
        <v>TT Off North</v>
      </c>
      <c r="L301" s="9" t="str">
        <f>IFERROR(__xludf.DUMMYFUNCTION("""COMPUTED_VALUE"""),"Joyi")</f>
        <v>Joyi</v>
      </c>
      <c r="M301" s="9" t="str">
        <f>IFERROR(__xludf.DUMMYFUNCTION("""COMPUTED_VALUE"""),"Star")</f>
        <v>Star</v>
      </c>
      <c r="N301" s="9" t="str">
        <f>IFERROR(__xludf.DUMMYFUNCTION("""COMPUTED_VALUE"""),"Sweetened")</f>
        <v>Sweetened</v>
      </c>
      <c r="O301" s="9" t="str">
        <f>IFERROR(__xludf.DUMMYFUNCTION("""COMPUTED_VALUE"""),"Carton")</f>
        <v>Carton</v>
      </c>
      <c r="P301" s="9">
        <f>IFERROR(__xludf.DUMMYFUNCTION("""COMPUTED_VALUE"""),180.0)</f>
        <v>180</v>
      </c>
      <c r="Q301" s="9" t="str">
        <f>IFERROR(__xludf.DUMMYFUNCTION("""COMPUTED_VALUE"""),"Q1'22")</f>
        <v>Q1'22</v>
      </c>
      <c r="R301" s="9">
        <f>IFERROR(__xludf.DUMMYFUNCTION("""COMPUTED_VALUE"""),4.207838361214767)</f>
        <v>4.207838361</v>
      </c>
    </row>
    <row r="302" ht="14.25" customHeight="1">
      <c r="A302" s="3" t="s">
        <v>23</v>
      </c>
      <c r="B302" s="6" t="s">
        <v>38</v>
      </c>
      <c r="C302" s="3" t="s">
        <v>40</v>
      </c>
      <c r="D302" s="3" t="s">
        <v>13</v>
      </c>
      <c r="E302" s="3" t="s">
        <v>14</v>
      </c>
      <c r="F302" s="3">
        <v>110.0</v>
      </c>
      <c r="G302" s="4" t="s">
        <v>19</v>
      </c>
      <c r="H302" s="3">
        <v>1.9479135427251686</v>
      </c>
      <c r="K302" s="9" t="str">
        <f>IFERROR(__xludf.DUMMYFUNCTION("""COMPUTED_VALUE"""),"TT Off North")</f>
        <v>TT Off North</v>
      </c>
      <c r="L302" s="9" t="str">
        <f>IFERROR(__xludf.DUMMYFUNCTION("""COMPUTED_VALUE"""),"Joyi")</f>
        <v>Joyi</v>
      </c>
      <c r="M302" s="9" t="str">
        <f>IFERROR(__xludf.DUMMYFUNCTION("""COMPUTED_VALUE"""),"Star")</f>
        <v>Star</v>
      </c>
      <c r="N302" s="9" t="str">
        <f>IFERROR(__xludf.DUMMYFUNCTION("""COMPUTED_VALUE"""),"Sweetened")</f>
        <v>Sweetened</v>
      </c>
      <c r="O302" s="9" t="str">
        <f>IFERROR(__xludf.DUMMYFUNCTION("""COMPUTED_VALUE"""),"Carton")</f>
        <v>Carton</v>
      </c>
      <c r="P302" s="9">
        <f>IFERROR(__xludf.DUMMYFUNCTION("""COMPUTED_VALUE"""),180.0)</f>
        <v>180</v>
      </c>
      <c r="Q302" s="9" t="str">
        <f>IFERROR(__xludf.DUMMYFUNCTION("""COMPUTED_VALUE"""),"Q2'22")</f>
        <v>Q2'22</v>
      </c>
      <c r="R302" s="9">
        <f>IFERROR(__xludf.DUMMYFUNCTION("""COMPUTED_VALUE"""),4.775982282718948)</f>
        <v>4.775982283</v>
      </c>
    </row>
    <row r="303" ht="14.25" customHeight="1">
      <c r="A303" s="3" t="s">
        <v>23</v>
      </c>
      <c r="B303" s="6" t="s">
        <v>38</v>
      </c>
      <c r="C303" s="3" t="s">
        <v>40</v>
      </c>
      <c r="D303" s="3" t="s">
        <v>13</v>
      </c>
      <c r="E303" s="3" t="s">
        <v>14</v>
      </c>
      <c r="F303" s="3">
        <v>110.0</v>
      </c>
      <c r="G303" s="4" t="s">
        <v>20</v>
      </c>
      <c r="H303" s="3">
        <v>1.5822251470511195</v>
      </c>
      <c r="K303" s="9" t="str">
        <f>IFERROR(__xludf.DUMMYFUNCTION("""COMPUTED_VALUE"""),"TT Off North")</f>
        <v>TT Off North</v>
      </c>
      <c r="L303" s="9" t="str">
        <f>IFERROR(__xludf.DUMMYFUNCTION("""COMPUTED_VALUE"""),"Joyi")</f>
        <v>Joyi</v>
      </c>
      <c r="M303" s="9" t="str">
        <f>IFERROR(__xludf.DUMMYFUNCTION("""COMPUTED_VALUE"""),"Star")</f>
        <v>Star</v>
      </c>
      <c r="N303" s="9" t="str">
        <f>IFERROR(__xludf.DUMMYFUNCTION("""COMPUTED_VALUE"""),"Sweetened")</f>
        <v>Sweetened</v>
      </c>
      <c r="O303" s="9" t="str">
        <f>IFERROR(__xludf.DUMMYFUNCTION("""COMPUTED_VALUE"""),"Carton")</f>
        <v>Carton</v>
      </c>
      <c r="P303" s="9">
        <f>IFERROR(__xludf.DUMMYFUNCTION("""COMPUTED_VALUE"""),180.0)</f>
        <v>180</v>
      </c>
      <c r="Q303" s="9" t="str">
        <f>IFERROR(__xludf.DUMMYFUNCTION("""COMPUTED_VALUE"""),"Q3'22")</f>
        <v>Q3'22</v>
      </c>
      <c r="R303" s="9">
        <f>IFERROR(__xludf.DUMMYFUNCTION("""COMPUTED_VALUE"""),4.966823385976377)</f>
        <v>4.966823386</v>
      </c>
    </row>
    <row r="304" ht="14.25" customHeight="1">
      <c r="A304" s="3" t="s">
        <v>23</v>
      </c>
      <c r="B304" s="6" t="s">
        <v>38</v>
      </c>
      <c r="C304" s="3" t="s">
        <v>40</v>
      </c>
      <c r="D304" s="3" t="s">
        <v>13</v>
      </c>
      <c r="E304" s="3" t="s">
        <v>14</v>
      </c>
      <c r="F304" s="3">
        <v>110.0</v>
      </c>
      <c r="G304" s="4" t="s">
        <v>21</v>
      </c>
      <c r="H304" s="3">
        <v>1.538384165983091</v>
      </c>
      <c r="K304" s="9" t="str">
        <f>IFERROR(__xludf.DUMMYFUNCTION("""COMPUTED_VALUE"""),"TT Off North")</f>
        <v>TT Off North</v>
      </c>
      <c r="L304" s="9" t="str">
        <f>IFERROR(__xludf.DUMMYFUNCTION("""COMPUTED_VALUE"""),"Joyi")</f>
        <v>Joyi</v>
      </c>
      <c r="M304" s="9" t="str">
        <f>IFERROR(__xludf.DUMMYFUNCTION("""COMPUTED_VALUE"""),"Star")</f>
        <v>Star</v>
      </c>
      <c r="N304" s="9" t="str">
        <f>IFERROR(__xludf.DUMMYFUNCTION("""COMPUTED_VALUE"""),"Sweetened")</f>
        <v>Sweetened</v>
      </c>
      <c r="O304" s="9" t="str">
        <f>IFERROR(__xludf.DUMMYFUNCTION("""COMPUTED_VALUE"""),"Carton")</f>
        <v>Carton</v>
      </c>
      <c r="P304" s="9">
        <f>IFERROR(__xludf.DUMMYFUNCTION("""COMPUTED_VALUE"""),180.0)</f>
        <v>180</v>
      </c>
      <c r="Q304" s="9" t="str">
        <f>IFERROR(__xludf.DUMMYFUNCTION("""COMPUTED_VALUE"""),"Q4'22")</f>
        <v>Q4'22</v>
      </c>
      <c r="R304" s="9">
        <f>IFERROR(__xludf.DUMMYFUNCTION("""COMPUTED_VALUE"""),4.671321365143249)</f>
        <v>4.671321365</v>
      </c>
    </row>
    <row r="305" ht="14.25" customHeight="1">
      <c r="A305" s="3" t="s">
        <v>23</v>
      </c>
      <c r="B305" s="6" t="s">
        <v>38</v>
      </c>
      <c r="C305" s="3" t="s">
        <v>40</v>
      </c>
      <c r="D305" s="3" t="s">
        <v>13</v>
      </c>
      <c r="E305" s="3" t="s">
        <v>14</v>
      </c>
      <c r="F305" s="3">
        <v>110.0</v>
      </c>
      <c r="G305" s="4" t="s">
        <v>22</v>
      </c>
      <c r="H305" s="3">
        <v>1.4119734413450382</v>
      </c>
      <c r="K305" s="9" t="str">
        <f>IFERROR(__xludf.DUMMYFUNCTION("""COMPUTED_VALUE"""),"TT Off North")</f>
        <v>TT Off North</v>
      </c>
      <c r="L305" s="9" t="str">
        <f>IFERROR(__xludf.DUMMYFUNCTION("""COMPUTED_VALUE"""),"Joyi")</f>
        <v>Joyi</v>
      </c>
      <c r="M305" s="9" t="str">
        <f>IFERROR(__xludf.DUMMYFUNCTION("""COMPUTED_VALUE"""),"Star")</f>
        <v>Star</v>
      </c>
      <c r="N305" s="9" t="str">
        <f>IFERROR(__xludf.DUMMYFUNCTION("""COMPUTED_VALUE"""),"Sweetened")</f>
        <v>Sweetened</v>
      </c>
      <c r="O305" s="9" t="str">
        <f>IFERROR(__xludf.DUMMYFUNCTION("""COMPUTED_VALUE"""),"Carton")</f>
        <v>Carton</v>
      </c>
      <c r="P305" s="9">
        <f>IFERROR(__xludf.DUMMYFUNCTION("""COMPUTED_VALUE"""),180.0)</f>
        <v>180</v>
      </c>
      <c r="Q305" s="9" t="str">
        <f>IFERROR(__xludf.DUMMYFUNCTION("""COMPUTED_VALUE"""),"Q1'23")</f>
        <v>Q1'23</v>
      </c>
      <c r="R305" s="9">
        <f>IFERROR(__xludf.DUMMYFUNCTION("""COMPUTED_VALUE"""),4.752100865950941)</f>
        <v>4.752100866</v>
      </c>
    </row>
    <row r="306" ht="14.25" customHeight="1">
      <c r="A306" s="3" t="s">
        <v>23</v>
      </c>
      <c r="B306" s="6" t="s">
        <v>38</v>
      </c>
      <c r="C306" s="3" t="s">
        <v>40</v>
      </c>
      <c r="D306" s="3" t="s">
        <v>13</v>
      </c>
      <c r="E306" s="3" t="s">
        <v>14</v>
      </c>
      <c r="F306" s="3">
        <v>180.0</v>
      </c>
      <c r="G306" s="4" t="s">
        <v>15</v>
      </c>
      <c r="H306" s="3">
        <v>5.647891017147277</v>
      </c>
      <c r="K306" s="9" t="str">
        <f>IFERROR(__xludf.DUMMYFUNCTION("""COMPUTED_VALUE"""),"TT Off North")</f>
        <v>TT Off North</v>
      </c>
      <c r="L306" s="9" t="str">
        <f>IFERROR(__xludf.DUMMYFUNCTION("""COMPUTED_VALUE"""),"Joyi")</f>
        <v>Joyi</v>
      </c>
      <c r="M306" s="9" t="str">
        <f>IFERROR(__xludf.DUMMYFUNCTION("""COMPUTED_VALUE"""),"Star")</f>
        <v>Star</v>
      </c>
      <c r="N306" s="9" t="str">
        <f>IFERROR(__xludf.DUMMYFUNCTION("""COMPUTED_VALUE"""),"Sweetened")</f>
        <v>Sweetened</v>
      </c>
      <c r="O306" s="9" t="str">
        <f>IFERROR(__xludf.DUMMYFUNCTION("""COMPUTED_VALUE"""),"Carton")</f>
        <v>Carton</v>
      </c>
      <c r="P306" s="9">
        <f>IFERROR(__xludf.DUMMYFUNCTION("""COMPUTED_VALUE"""),180.0)</f>
        <v>180</v>
      </c>
      <c r="Q306" s="9" t="str">
        <f>IFERROR(__xludf.DUMMYFUNCTION("""COMPUTED_VALUE"""),"Q2'23")</f>
        <v>Q2'23</v>
      </c>
      <c r="R306" s="9">
        <f>IFERROR(__xludf.DUMMYFUNCTION("""COMPUTED_VALUE"""),4.161496508899141)</f>
        <v>4.161496509</v>
      </c>
    </row>
    <row r="307" ht="14.25" customHeight="1">
      <c r="A307" s="3" t="s">
        <v>23</v>
      </c>
      <c r="B307" s="6" t="s">
        <v>38</v>
      </c>
      <c r="C307" s="3" t="s">
        <v>40</v>
      </c>
      <c r="D307" s="3" t="s">
        <v>13</v>
      </c>
      <c r="E307" s="3" t="s">
        <v>14</v>
      </c>
      <c r="F307" s="3">
        <v>180.0</v>
      </c>
      <c r="G307" s="4" t="s">
        <v>16</v>
      </c>
      <c r="H307" s="3">
        <v>5.613906101907097</v>
      </c>
      <c r="K307" s="9" t="str">
        <f>IFERROR(__xludf.DUMMYFUNCTION("""COMPUTED_VALUE"""),"TT Off North")</f>
        <v>TT Off North</v>
      </c>
      <c r="L307" s="9" t="str">
        <f>IFERROR(__xludf.DUMMYFUNCTION("""COMPUTED_VALUE"""),"Joyi")</f>
        <v>Joyi</v>
      </c>
      <c r="M307" s="9" t="str">
        <f>IFERROR(__xludf.DUMMYFUNCTION("""COMPUTED_VALUE"""),"Star")</f>
        <v>Star</v>
      </c>
      <c r="N307" s="9" t="str">
        <f>IFERROR(__xludf.DUMMYFUNCTION("""COMPUTED_VALUE"""),"Sweetened")</f>
        <v>Sweetened</v>
      </c>
      <c r="O307" s="9" t="str">
        <f>IFERROR(__xludf.DUMMYFUNCTION("""COMPUTED_VALUE"""),"Carton")</f>
        <v>Carton</v>
      </c>
      <c r="P307" s="9">
        <f>IFERROR(__xludf.DUMMYFUNCTION("""COMPUTED_VALUE"""),180.0)</f>
        <v>180</v>
      </c>
      <c r="Q307" s="9" t="str">
        <f>IFERROR(__xludf.DUMMYFUNCTION("""COMPUTED_VALUE"""),"Q3'23")</f>
        <v>Q3'23</v>
      </c>
      <c r="R307" s="9">
        <f>IFERROR(__xludf.DUMMYFUNCTION("""COMPUTED_VALUE"""),3.5974532310117766)</f>
        <v>3.597453231</v>
      </c>
    </row>
    <row r="308" ht="14.25" customHeight="1">
      <c r="A308" s="3" t="s">
        <v>23</v>
      </c>
      <c r="B308" s="6" t="s">
        <v>38</v>
      </c>
      <c r="C308" s="3" t="s">
        <v>40</v>
      </c>
      <c r="D308" s="3" t="s">
        <v>13</v>
      </c>
      <c r="E308" s="3" t="s">
        <v>14</v>
      </c>
      <c r="F308" s="3">
        <v>180.0</v>
      </c>
      <c r="G308" s="4" t="s">
        <v>17</v>
      </c>
      <c r="H308" s="3">
        <v>5.666342401486365</v>
      </c>
      <c r="K308" s="9" t="str">
        <f>IFERROR(__xludf.DUMMYFUNCTION("""COMPUTED_VALUE"""),"TT Off North")</f>
        <v>TT Off North</v>
      </c>
      <c r="L308" s="9" t="str">
        <f>IFERROR(__xludf.DUMMYFUNCTION("""COMPUTED_VALUE"""),"Joyi")</f>
        <v>Joyi</v>
      </c>
      <c r="M308" s="9" t="str">
        <f>IFERROR(__xludf.DUMMYFUNCTION("""COMPUTED_VALUE"""),"Star")</f>
        <v>Star</v>
      </c>
      <c r="N308" s="9" t="str">
        <f>IFERROR(__xludf.DUMMYFUNCTION("""COMPUTED_VALUE"""),"Sweetened")</f>
        <v>Sweetened</v>
      </c>
      <c r="O308" s="9" t="str">
        <f>IFERROR(__xludf.DUMMYFUNCTION("""COMPUTED_VALUE"""),"Carton")</f>
        <v>Carton</v>
      </c>
      <c r="P308" s="9">
        <f>IFERROR(__xludf.DUMMYFUNCTION("""COMPUTED_VALUE"""),180.0)</f>
        <v>180</v>
      </c>
      <c r="Q308" s="9" t="str">
        <f>IFERROR(__xludf.DUMMYFUNCTION("""COMPUTED_VALUE"""),"Q4'23")</f>
        <v>Q4'23</v>
      </c>
      <c r="R308" s="9">
        <f>IFERROR(__xludf.DUMMYFUNCTION("""COMPUTED_VALUE"""),3.5049382840869843)</f>
        <v>3.504938284</v>
      </c>
    </row>
    <row r="309" ht="14.25" customHeight="1">
      <c r="A309" s="3" t="s">
        <v>23</v>
      </c>
      <c r="B309" s="6" t="s">
        <v>38</v>
      </c>
      <c r="C309" s="3" t="s">
        <v>40</v>
      </c>
      <c r="D309" s="3" t="s">
        <v>13</v>
      </c>
      <c r="E309" s="3" t="s">
        <v>14</v>
      </c>
      <c r="F309" s="3">
        <v>180.0</v>
      </c>
      <c r="G309" s="4" t="s">
        <v>18</v>
      </c>
      <c r="H309" s="3">
        <v>5.213087880648511</v>
      </c>
      <c r="K309" s="9" t="str">
        <f>IFERROR(__xludf.DUMMYFUNCTION("""COMPUTED_VALUE"""),"TT Off North")</f>
        <v>TT Off North</v>
      </c>
      <c r="L309" s="9" t="str">
        <f>IFERROR(__xludf.DUMMYFUNCTION("""COMPUTED_VALUE"""),"Joyi")</f>
        <v>Joyi</v>
      </c>
      <c r="M309" s="9" t="str">
        <f>IFERROR(__xludf.DUMMYFUNCTION("""COMPUTED_VALUE"""),"Star")</f>
        <v>Star</v>
      </c>
      <c r="N309" s="9" t="str">
        <f>IFERROR(__xludf.DUMMYFUNCTION("""COMPUTED_VALUE"""),"Sweetened")</f>
        <v>Sweetened</v>
      </c>
      <c r="O309" s="9" t="str">
        <f>IFERROR(__xludf.DUMMYFUNCTION("""COMPUTED_VALUE"""),"TFA")</f>
        <v>TFA</v>
      </c>
      <c r="P309" s="9">
        <f>IFERROR(__xludf.DUMMYFUNCTION("""COMPUTED_VALUE"""),220.0)</f>
        <v>220</v>
      </c>
      <c r="Q309" s="9" t="str">
        <f>IFERROR(__xludf.DUMMYFUNCTION("""COMPUTED_VALUE"""),"Q1'22")</f>
        <v>Q1'22</v>
      </c>
      <c r="R309" s="9">
        <f>IFERROR(__xludf.DUMMYFUNCTION("""COMPUTED_VALUE"""),0.054573369300068585)</f>
        <v>0.0545733693</v>
      </c>
    </row>
    <row r="310" ht="14.25" customHeight="1">
      <c r="A310" s="3" t="s">
        <v>23</v>
      </c>
      <c r="B310" s="6" t="s">
        <v>38</v>
      </c>
      <c r="C310" s="3" t="s">
        <v>40</v>
      </c>
      <c r="D310" s="3" t="s">
        <v>13</v>
      </c>
      <c r="E310" s="3" t="s">
        <v>14</v>
      </c>
      <c r="F310" s="3">
        <v>180.0</v>
      </c>
      <c r="G310" s="4" t="s">
        <v>19</v>
      </c>
      <c r="H310" s="3">
        <v>5.04834562508107</v>
      </c>
      <c r="K310" s="9" t="str">
        <f>IFERROR(__xludf.DUMMYFUNCTION("""COMPUTED_VALUE"""),"TT Off North")</f>
        <v>TT Off North</v>
      </c>
      <c r="L310" s="9" t="str">
        <f>IFERROR(__xludf.DUMMYFUNCTION("""COMPUTED_VALUE"""),"Joyi")</f>
        <v>Joyi</v>
      </c>
      <c r="M310" s="9" t="str">
        <f>IFERROR(__xludf.DUMMYFUNCTION("""COMPUTED_VALUE"""),"Star")</f>
        <v>Star</v>
      </c>
      <c r="N310" s="9" t="str">
        <f>IFERROR(__xludf.DUMMYFUNCTION("""COMPUTED_VALUE"""),"Sweetened")</f>
        <v>Sweetened</v>
      </c>
      <c r="O310" s="9" t="str">
        <f>IFERROR(__xludf.DUMMYFUNCTION("""COMPUTED_VALUE"""),"TFA")</f>
        <v>TFA</v>
      </c>
      <c r="P310" s="9">
        <f>IFERROR(__xludf.DUMMYFUNCTION("""COMPUTED_VALUE"""),220.0)</f>
        <v>220</v>
      </c>
      <c r="Q310" s="9" t="str">
        <f>IFERROR(__xludf.DUMMYFUNCTION("""COMPUTED_VALUE"""),"Q2'22")</f>
        <v>Q2'22</v>
      </c>
      <c r="R310" s="9">
        <f>IFERROR(__xludf.DUMMYFUNCTION("""COMPUTED_VALUE"""),0.17561467417249232)</f>
        <v>0.1756146742</v>
      </c>
    </row>
    <row r="311" ht="14.25" customHeight="1">
      <c r="A311" s="3" t="s">
        <v>23</v>
      </c>
      <c r="B311" s="6" t="s">
        <v>38</v>
      </c>
      <c r="C311" s="3" t="s">
        <v>40</v>
      </c>
      <c r="D311" s="3" t="s">
        <v>13</v>
      </c>
      <c r="E311" s="3" t="s">
        <v>14</v>
      </c>
      <c r="F311" s="3">
        <v>180.0</v>
      </c>
      <c r="G311" s="4" t="s">
        <v>20</v>
      </c>
      <c r="H311" s="3">
        <v>4.633282451394608</v>
      </c>
      <c r="K311" s="9" t="str">
        <f>IFERROR(__xludf.DUMMYFUNCTION("""COMPUTED_VALUE"""),"TT Off North")</f>
        <v>TT Off North</v>
      </c>
      <c r="L311" s="9" t="str">
        <f>IFERROR(__xludf.DUMMYFUNCTION("""COMPUTED_VALUE"""),"Joyi")</f>
        <v>Joyi</v>
      </c>
      <c r="M311" s="9" t="str">
        <f>IFERROR(__xludf.DUMMYFUNCTION("""COMPUTED_VALUE"""),"Star")</f>
        <v>Star</v>
      </c>
      <c r="N311" s="9" t="str">
        <f>IFERROR(__xludf.DUMMYFUNCTION("""COMPUTED_VALUE"""),"Sweetened")</f>
        <v>Sweetened</v>
      </c>
      <c r="O311" s="9" t="str">
        <f>IFERROR(__xludf.DUMMYFUNCTION("""COMPUTED_VALUE"""),"TFA")</f>
        <v>TFA</v>
      </c>
      <c r="P311" s="9">
        <f>IFERROR(__xludf.DUMMYFUNCTION("""COMPUTED_VALUE"""),220.0)</f>
        <v>220</v>
      </c>
      <c r="Q311" s="9" t="str">
        <f>IFERROR(__xludf.DUMMYFUNCTION("""COMPUTED_VALUE"""),"Q3'22")</f>
        <v>Q3'22</v>
      </c>
      <c r="R311" s="9">
        <f>IFERROR(__xludf.DUMMYFUNCTION("""COMPUTED_VALUE"""),0.24491761284516558)</f>
        <v>0.2449176128</v>
      </c>
    </row>
    <row r="312" ht="14.25" customHeight="1">
      <c r="A312" s="3" t="s">
        <v>23</v>
      </c>
      <c r="B312" s="6" t="s">
        <v>38</v>
      </c>
      <c r="C312" s="3" t="s">
        <v>40</v>
      </c>
      <c r="D312" s="3" t="s">
        <v>13</v>
      </c>
      <c r="E312" s="3" t="s">
        <v>14</v>
      </c>
      <c r="F312" s="3">
        <v>180.0</v>
      </c>
      <c r="G312" s="4" t="s">
        <v>21</v>
      </c>
      <c r="H312" s="3">
        <v>4.326181249208231</v>
      </c>
      <c r="K312" s="9" t="str">
        <f>IFERROR(__xludf.DUMMYFUNCTION("""COMPUTED_VALUE"""),"TT Off North")</f>
        <v>TT Off North</v>
      </c>
      <c r="L312" s="9" t="str">
        <f>IFERROR(__xludf.DUMMYFUNCTION("""COMPUTED_VALUE"""),"Joyi")</f>
        <v>Joyi</v>
      </c>
      <c r="M312" s="9" t="str">
        <f>IFERROR(__xludf.DUMMYFUNCTION("""COMPUTED_VALUE"""),"Star")</f>
        <v>Star</v>
      </c>
      <c r="N312" s="9" t="str">
        <f>IFERROR(__xludf.DUMMYFUNCTION("""COMPUTED_VALUE"""),"Sweetened")</f>
        <v>Sweetened</v>
      </c>
      <c r="O312" s="9" t="str">
        <f>IFERROR(__xludf.DUMMYFUNCTION("""COMPUTED_VALUE"""),"TFA")</f>
        <v>TFA</v>
      </c>
      <c r="P312" s="9">
        <f>IFERROR(__xludf.DUMMYFUNCTION("""COMPUTED_VALUE"""),220.0)</f>
        <v>220</v>
      </c>
      <c r="Q312" s="9" t="str">
        <f>IFERROR(__xludf.DUMMYFUNCTION("""COMPUTED_VALUE"""),"Q4'22")</f>
        <v>Q4'22</v>
      </c>
      <c r="R312" s="9">
        <f>IFERROR(__xludf.DUMMYFUNCTION("""COMPUTED_VALUE"""),0.23700078469408403)</f>
        <v>0.2370007847</v>
      </c>
    </row>
    <row r="313" ht="14.25" customHeight="1">
      <c r="A313" s="3" t="s">
        <v>23</v>
      </c>
      <c r="B313" s="6" t="s">
        <v>38</v>
      </c>
      <c r="C313" s="3" t="s">
        <v>40</v>
      </c>
      <c r="D313" s="3" t="s">
        <v>13</v>
      </c>
      <c r="E313" s="3" t="s">
        <v>14</v>
      </c>
      <c r="F313" s="3">
        <v>180.0</v>
      </c>
      <c r="G313" s="4" t="s">
        <v>22</v>
      </c>
      <c r="H313" s="3">
        <v>4.291150318850753</v>
      </c>
      <c r="K313" s="9" t="str">
        <f>IFERROR(__xludf.DUMMYFUNCTION("""COMPUTED_VALUE"""),"TT Off North")</f>
        <v>TT Off North</v>
      </c>
      <c r="L313" s="9" t="str">
        <f>IFERROR(__xludf.DUMMYFUNCTION("""COMPUTED_VALUE"""),"Joyi")</f>
        <v>Joyi</v>
      </c>
      <c r="M313" s="9" t="str">
        <f>IFERROR(__xludf.DUMMYFUNCTION("""COMPUTED_VALUE"""),"Star")</f>
        <v>Star</v>
      </c>
      <c r="N313" s="9" t="str">
        <f>IFERROR(__xludf.DUMMYFUNCTION("""COMPUTED_VALUE"""),"Sweetened")</f>
        <v>Sweetened</v>
      </c>
      <c r="O313" s="9" t="str">
        <f>IFERROR(__xludf.DUMMYFUNCTION("""COMPUTED_VALUE"""),"TFA")</f>
        <v>TFA</v>
      </c>
      <c r="P313" s="9">
        <f>IFERROR(__xludf.DUMMYFUNCTION("""COMPUTED_VALUE"""),220.0)</f>
        <v>220</v>
      </c>
      <c r="Q313" s="9" t="str">
        <f>IFERROR(__xludf.DUMMYFUNCTION("""COMPUTED_VALUE"""),"Q1'23")</f>
        <v>Q1'23</v>
      </c>
      <c r="R313" s="9">
        <f>IFERROR(__xludf.DUMMYFUNCTION("""COMPUTED_VALUE"""),0.21535871084922115)</f>
        <v>0.2153587108</v>
      </c>
    </row>
    <row r="314" ht="14.25" customHeight="1">
      <c r="A314" s="3" t="s">
        <v>23</v>
      </c>
      <c r="B314" s="6" t="s">
        <v>38</v>
      </c>
      <c r="C314" s="3" t="s">
        <v>40</v>
      </c>
      <c r="D314" s="3" t="s">
        <v>13</v>
      </c>
      <c r="E314" s="3" t="s">
        <v>29</v>
      </c>
      <c r="F314" s="3">
        <v>220.0</v>
      </c>
      <c r="G314" s="4" t="s">
        <v>15</v>
      </c>
      <c r="H314" s="3">
        <v>1.3593599800698382</v>
      </c>
      <c r="K314" s="9" t="str">
        <f>IFERROR(__xludf.DUMMYFUNCTION("""COMPUTED_VALUE"""),"TT Off North")</f>
        <v>TT Off North</v>
      </c>
      <c r="L314" s="9" t="str">
        <f>IFERROR(__xludf.DUMMYFUNCTION("""COMPUTED_VALUE"""),"Joyi")</f>
        <v>Joyi</v>
      </c>
      <c r="M314" s="9" t="str">
        <f>IFERROR(__xludf.DUMMYFUNCTION("""COMPUTED_VALUE"""),"Star")</f>
        <v>Star</v>
      </c>
      <c r="N314" s="9" t="str">
        <f>IFERROR(__xludf.DUMMYFUNCTION("""COMPUTED_VALUE"""),"Sweetened")</f>
        <v>Sweetened</v>
      </c>
      <c r="O314" s="9" t="str">
        <f>IFERROR(__xludf.DUMMYFUNCTION("""COMPUTED_VALUE"""),"TFA")</f>
        <v>TFA</v>
      </c>
      <c r="P314" s="9">
        <f>IFERROR(__xludf.DUMMYFUNCTION("""COMPUTED_VALUE"""),220.0)</f>
        <v>220</v>
      </c>
      <c r="Q314" s="9" t="str">
        <f>IFERROR(__xludf.DUMMYFUNCTION("""COMPUTED_VALUE"""),"Q2'23")</f>
        <v>Q2'23</v>
      </c>
      <c r="R314" s="9">
        <f>IFERROR(__xludf.DUMMYFUNCTION("""COMPUTED_VALUE"""),0.21103979502219467)</f>
        <v>0.211039795</v>
      </c>
    </row>
    <row r="315" ht="14.25" customHeight="1">
      <c r="A315" s="3" t="s">
        <v>23</v>
      </c>
      <c r="B315" s="6" t="s">
        <v>38</v>
      </c>
      <c r="C315" s="3" t="s">
        <v>40</v>
      </c>
      <c r="D315" s="3" t="s">
        <v>13</v>
      </c>
      <c r="E315" s="3" t="s">
        <v>29</v>
      </c>
      <c r="F315" s="3">
        <v>220.0</v>
      </c>
      <c r="G315" s="4" t="s">
        <v>16</v>
      </c>
      <c r="H315" s="3">
        <v>1.8700653641837583</v>
      </c>
      <c r="K315" s="9" t="str">
        <f>IFERROR(__xludf.DUMMYFUNCTION("""COMPUTED_VALUE"""),"TT Off North")</f>
        <v>TT Off North</v>
      </c>
      <c r="L315" s="9" t="str">
        <f>IFERROR(__xludf.DUMMYFUNCTION("""COMPUTED_VALUE"""),"Joyi")</f>
        <v>Joyi</v>
      </c>
      <c r="M315" s="9" t="str">
        <f>IFERROR(__xludf.DUMMYFUNCTION("""COMPUTED_VALUE"""),"Star")</f>
        <v>Star</v>
      </c>
      <c r="N315" s="9" t="str">
        <f>IFERROR(__xludf.DUMMYFUNCTION("""COMPUTED_VALUE"""),"Sweetened")</f>
        <v>Sweetened</v>
      </c>
      <c r="O315" s="9" t="str">
        <f>IFERROR(__xludf.DUMMYFUNCTION("""COMPUTED_VALUE"""),"TFA")</f>
        <v>TFA</v>
      </c>
      <c r="P315" s="9">
        <f>IFERROR(__xludf.DUMMYFUNCTION("""COMPUTED_VALUE"""),220.0)</f>
        <v>220</v>
      </c>
      <c r="Q315" s="9" t="str">
        <f>IFERROR(__xludf.DUMMYFUNCTION("""COMPUTED_VALUE"""),"Q3'23")</f>
        <v>Q3'23</v>
      </c>
      <c r="R315" s="9">
        <f>IFERROR(__xludf.DUMMYFUNCTION("""COMPUTED_VALUE"""),0.3746097300737455)</f>
        <v>0.3746097301</v>
      </c>
    </row>
    <row r="316" ht="14.25" customHeight="1">
      <c r="A316" s="3" t="s">
        <v>23</v>
      </c>
      <c r="B316" s="6" t="s">
        <v>38</v>
      </c>
      <c r="C316" s="3" t="s">
        <v>40</v>
      </c>
      <c r="D316" s="3" t="s">
        <v>13</v>
      </c>
      <c r="E316" s="3" t="s">
        <v>29</v>
      </c>
      <c r="F316" s="3">
        <v>220.0</v>
      </c>
      <c r="G316" s="4" t="s">
        <v>17</v>
      </c>
      <c r="H316" s="3">
        <v>1.6851710214536453</v>
      </c>
      <c r="K316" s="9" t="str">
        <f>IFERROR(__xludf.DUMMYFUNCTION("""COMPUTED_VALUE"""),"TT Off North")</f>
        <v>TT Off North</v>
      </c>
      <c r="L316" s="9" t="str">
        <f>IFERROR(__xludf.DUMMYFUNCTION("""COMPUTED_VALUE"""),"Joyi")</f>
        <v>Joyi</v>
      </c>
      <c r="M316" s="9" t="str">
        <f>IFERROR(__xludf.DUMMYFUNCTION("""COMPUTED_VALUE"""),"Star")</f>
        <v>Star</v>
      </c>
      <c r="N316" s="9" t="str">
        <f>IFERROR(__xludf.DUMMYFUNCTION("""COMPUTED_VALUE"""),"Sweetened")</f>
        <v>Sweetened</v>
      </c>
      <c r="O316" s="9" t="str">
        <f>IFERROR(__xludf.DUMMYFUNCTION("""COMPUTED_VALUE"""),"TFA")</f>
        <v>TFA</v>
      </c>
      <c r="P316" s="9">
        <f>IFERROR(__xludf.DUMMYFUNCTION("""COMPUTED_VALUE"""),220.0)</f>
        <v>220</v>
      </c>
      <c r="Q316" s="9" t="str">
        <f>IFERROR(__xludf.DUMMYFUNCTION("""COMPUTED_VALUE"""),"Q4'23")</f>
        <v>Q4'23</v>
      </c>
      <c r="R316" s="9">
        <f>IFERROR(__xludf.DUMMYFUNCTION("""COMPUTED_VALUE"""),0.21996505889928603)</f>
        <v>0.2199650589</v>
      </c>
    </row>
    <row r="317" ht="14.25" customHeight="1">
      <c r="A317" s="3" t="s">
        <v>23</v>
      </c>
      <c r="B317" s="6" t="s">
        <v>38</v>
      </c>
      <c r="C317" s="3" t="s">
        <v>40</v>
      </c>
      <c r="D317" s="3" t="s">
        <v>13</v>
      </c>
      <c r="E317" s="3" t="s">
        <v>29</v>
      </c>
      <c r="F317" s="3">
        <v>220.0</v>
      </c>
      <c r="G317" s="4" t="s">
        <v>18</v>
      </c>
      <c r="H317" s="3">
        <v>1.8508038305573686</v>
      </c>
      <c r="K317" s="9" t="str">
        <f>IFERROR(__xludf.DUMMYFUNCTION("""COMPUTED_VALUE"""),"TT Off North")</f>
        <v>TT Off North</v>
      </c>
      <c r="L317" s="9" t="str">
        <f>IFERROR(__xludf.DUMMYFUNCTION("""COMPUTED_VALUE"""),"Goldmilk")</f>
        <v>Goldmilk</v>
      </c>
      <c r="M317" s="9" t="str">
        <f>IFERROR(__xludf.DUMMYFUNCTION("""COMPUTED_VALUE"""),"Goldmilk")</f>
        <v>Goldmilk</v>
      </c>
      <c r="N317" s="9" t="str">
        <f>IFERROR(__xludf.DUMMYFUNCTION("""COMPUTED_VALUE"""),"Less Sugar")</f>
        <v>Less Sugar</v>
      </c>
      <c r="O317" s="9" t="str">
        <f>IFERROR(__xludf.DUMMYFUNCTION("""COMPUTED_VALUE"""),"Carton")</f>
        <v>Carton</v>
      </c>
      <c r="P317" s="9">
        <f>IFERROR(__xludf.DUMMYFUNCTION("""COMPUTED_VALUE"""),180.0)</f>
        <v>180</v>
      </c>
      <c r="Q317" s="9" t="str">
        <f>IFERROR(__xludf.DUMMYFUNCTION("""COMPUTED_VALUE"""),"Q1'22")</f>
        <v>Q1'22</v>
      </c>
      <c r="R317" s="9">
        <f>IFERROR(__xludf.DUMMYFUNCTION("""COMPUTED_VALUE"""),0.9106424567917076)</f>
        <v>0.9106424568</v>
      </c>
    </row>
    <row r="318" ht="14.25" customHeight="1">
      <c r="A318" s="3" t="s">
        <v>23</v>
      </c>
      <c r="B318" s="6" t="s">
        <v>38</v>
      </c>
      <c r="C318" s="3" t="s">
        <v>40</v>
      </c>
      <c r="D318" s="3" t="s">
        <v>13</v>
      </c>
      <c r="E318" s="3" t="s">
        <v>29</v>
      </c>
      <c r="F318" s="3">
        <v>220.0</v>
      </c>
      <c r="G318" s="4" t="s">
        <v>19</v>
      </c>
      <c r="H318" s="3">
        <v>2.16824507875187</v>
      </c>
      <c r="K318" s="9" t="str">
        <f>IFERROR(__xludf.DUMMYFUNCTION("""COMPUTED_VALUE"""),"TT Off North")</f>
        <v>TT Off North</v>
      </c>
      <c r="L318" s="9" t="str">
        <f>IFERROR(__xludf.DUMMYFUNCTION("""COMPUTED_VALUE"""),"Goldmilk")</f>
        <v>Goldmilk</v>
      </c>
      <c r="M318" s="9" t="str">
        <f>IFERROR(__xludf.DUMMYFUNCTION("""COMPUTED_VALUE"""),"Goldmilk")</f>
        <v>Goldmilk</v>
      </c>
      <c r="N318" s="9" t="str">
        <f>IFERROR(__xludf.DUMMYFUNCTION("""COMPUTED_VALUE"""),"Less Sugar")</f>
        <v>Less Sugar</v>
      </c>
      <c r="O318" s="9" t="str">
        <f>IFERROR(__xludf.DUMMYFUNCTION("""COMPUTED_VALUE"""),"Carton")</f>
        <v>Carton</v>
      </c>
      <c r="P318" s="9">
        <f>IFERROR(__xludf.DUMMYFUNCTION("""COMPUTED_VALUE"""),180.0)</f>
        <v>180</v>
      </c>
      <c r="Q318" s="9" t="str">
        <f>IFERROR(__xludf.DUMMYFUNCTION("""COMPUTED_VALUE"""),"Q2'22")</f>
        <v>Q2'22</v>
      </c>
      <c r="R318" s="9">
        <f>IFERROR(__xludf.DUMMYFUNCTION("""COMPUTED_VALUE"""),1.0374445709372373)</f>
        <v>1.037444571</v>
      </c>
    </row>
    <row r="319" ht="14.25" customHeight="1">
      <c r="A319" s="3" t="s">
        <v>23</v>
      </c>
      <c r="B319" s="6" t="s">
        <v>38</v>
      </c>
      <c r="C319" s="3" t="s">
        <v>40</v>
      </c>
      <c r="D319" s="3" t="s">
        <v>13</v>
      </c>
      <c r="E319" s="3" t="s">
        <v>29</v>
      </c>
      <c r="F319" s="3">
        <v>220.0</v>
      </c>
      <c r="G319" s="4" t="s">
        <v>20</v>
      </c>
      <c r="H319" s="3">
        <v>2.182304252247438</v>
      </c>
      <c r="K319" s="9" t="str">
        <f>IFERROR(__xludf.DUMMYFUNCTION("""COMPUTED_VALUE"""),"TT Off North")</f>
        <v>TT Off North</v>
      </c>
      <c r="L319" s="9" t="str">
        <f>IFERROR(__xludf.DUMMYFUNCTION("""COMPUTED_VALUE"""),"Goldmilk")</f>
        <v>Goldmilk</v>
      </c>
      <c r="M319" s="9" t="str">
        <f>IFERROR(__xludf.DUMMYFUNCTION("""COMPUTED_VALUE"""),"Goldmilk")</f>
        <v>Goldmilk</v>
      </c>
      <c r="N319" s="9" t="str">
        <f>IFERROR(__xludf.DUMMYFUNCTION("""COMPUTED_VALUE"""),"Less Sugar")</f>
        <v>Less Sugar</v>
      </c>
      <c r="O319" s="9" t="str">
        <f>IFERROR(__xludf.DUMMYFUNCTION("""COMPUTED_VALUE"""),"Carton")</f>
        <v>Carton</v>
      </c>
      <c r="P319" s="9">
        <f>IFERROR(__xludf.DUMMYFUNCTION("""COMPUTED_VALUE"""),180.0)</f>
        <v>180</v>
      </c>
      <c r="Q319" s="9" t="str">
        <f>IFERROR(__xludf.DUMMYFUNCTION("""COMPUTED_VALUE"""),"Q3'22")</f>
        <v>Q3'22</v>
      </c>
      <c r="R319" s="9">
        <f>IFERROR(__xludf.DUMMYFUNCTION("""COMPUTED_VALUE"""),0.838273099236926)</f>
        <v>0.8382730992</v>
      </c>
    </row>
    <row r="320" ht="14.25" customHeight="1">
      <c r="A320" s="3" t="s">
        <v>23</v>
      </c>
      <c r="B320" s="6" t="s">
        <v>38</v>
      </c>
      <c r="C320" s="3" t="s">
        <v>40</v>
      </c>
      <c r="D320" s="3" t="s">
        <v>13</v>
      </c>
      <c r="E320" s="3" t="s">
        <v>29</v>
      </c>
      <c r="F320" s="3">
        <v>220.0</v>
      </c>
      <c r="G320" s="4" t="s">
        <v>21</v>
      </c>
      <c r="H320" s="3">
        <v>2.3033505276766975</v>
      </c>
      <c r="K320" s="9" t="str">
        <f>IFERROR(__xludf.DUMMYFUNCTION("""COMPUTED_VALUE"""),"TT Off North")</f>
        <v>TT Off North</v>
      </c>
      <c r="L320" s="9" t="str">
        <f>IFERROR(__xludf.DUMMYFUNCTION("""COMPUTED_VALUE"""),"Goldmilk")</f>
        <v>Goldmilk</v>
      </c>
      <c r="M320" s="9" t="str">
        <f>IFERROR(__xludf.DUMMYFUNCTION("""COMPUTED_VALUE"""),"Goldmilk")</f>
        <v>Goldmilk</v>
      </c>
      <c r="N320" s="9" t="str">
        <f>IFERROR(__xludf.DUMMYFUNCTION("""COMPUTED_VALUE"""),"Less Sugar")</f>
        <v>Less Sugar</v>
      </c>
      <c r="O320" s="9" t="str">
        <f>IFERROR(__xludf.DUMMYFUNCTION("""COMPUTED_VALUE"""),"Carton")</f>
        <v>Carton</v>
      </c>
      <c r="P320" s="9">
        <f>IFERROR(__xludf.DUMMYFUNCTION("""COMPUTED_VALUE"""),180.0)</f>
        <v>180</v>
      </c>
      <c r="Q320" s="9" t="str">
        <f>IFERROR(__xludf.DUMMYFUNCTION("""COMPUTED_VALUE"""),"Q4'22")</f>
        <v>Q4'22</v>
      </c>
      <c r="R320" s="9">
        <f>IFERROR(__xludf.DUMMYFUNCTION("""COMPUTED_VALUE"""),0.8945513608223727)</f>
        <v>0.8945513608</v>
      </c>
    </row>
    <row r="321" ht="14.25" customHeight="1">
      <c r="A321" s="3" t="s">
        <v>23</v>
      </c>
      <c r="B321" s="6" t="s">
        <v>38</v>
      </c>
      <c r="C321" s="3" t="s">
        <v>40</v>
      </c>
      <c r="D321" s="3" t="s">
        <v>13</v>
      </c>
      <c r="E321" s="3" t="s">
        <v>29</v>
      </c>
      <c r="F321" s="3">
        <v>220.0</v>
      </c>
      <c r="G321" s="4" t="s">
        <v>22</v>
      </c>
      <c r="H321" s="3">
        <v>2.178955563268182</v>
      </c>
      <c r="K321" s="9" t="str">
        <f>IFERROR(__xludf.DUMMYFUNCTION("""COMPUTED_VALUE"""),"TT Off North")</f>
        <v>TT Off North</v>
      </c>
      <c r="L321" s="9" t="str">
        <f>IFERROR(__xludf.DUMMYFUNCTION("""COMPUTED_VALUE"""),"Goldmilk")</f>
        <v>Goldmilk</v>
      </c>
      <c r="M321" s="9" t="str">
        <f>IFERROR(__xludf.DUMMYFUNCTION("""COMPUTED_VALUE"""),"Goldmilk")</f>
        <v>Goldmilk</v>
      </c>
      <c r="N321" s="9" t="str">
        <f>IFERROR(__xludf.DUMMYFUNCTION("""COMPUTED_VALUE"""),"Less Sugar")</f>
        <v>Less Sugar</v>
      </c>
      <c r="O321" s="9" t="str">
        <f>IFERROR(__xludf.DUMMYFUNCTION("""COMPUTED_VALUE"""),"Carton")</f>
        <v>Carton</v>
      </c>
      <c r="P321" s="9">
        <f>IFERROR(__xludf.DUMMYFUNCTION("""COMPUTED_VALUE"""),180.0)</f>
        <v>180</v>
      </c>
      <c r="Q321" s="9" t="str">
        <f>IFERROR(__xludf.DUMMYFUNCTION("""COMPUTED_VALUE"""),"Q1'23")</f>
        <v>Q1'23</v>
      </c>
      <c r="R321" s="9">
        <f>IFERROR(__xludf.DUMMYFUNCTION("""COMPUTED_VALUE"""),0.9352889955503065)</f>
        <v>0.9352889956</v>
      </c>
    </row>
    <row r="322" ht="14.25" customHeight="1">
      <c r="A322" s="3" t="s">
        <v>23</v>
      </c>
      <c r="B322" s="3" t="s">
        <v>36</v>
      </c>
      <c r="C322" s="3" t="s">
        <v>36</v>
      </c>
      <c r="D322" s="3" t="s">
        <v>37</v>
      </c>
      <c r="E322" s="3" t="s">
        <v>14</v>
      </c>
      <c r="F322" s="3">
        <v>180.0</v>
      </c>
      <c r="G322" s="4" t="s">
        <v>15</v>
      </c>
      <c r="H322" s="3">
        <v>1.4168427438593583</v>
      </c>
      <c r="K322" s="9" t="str">
        <f>IFERROR(__xludf.DUMMYFUNCTION("""COMPUTED_VALUE"""),"TT Off North")</f>
        <v>TT Off North</v>
      </c>
      <c r="L322" s="9" t="str">
        <f>IFERROR(__xludf.DUMMYFUNCTION("""COMPUTED_VALUE"""),"Goldmilk")</f>
        <v>Goldmilk</v>
      </c>
      <c r="M322" s="9" t="str">
        <f>IFERROR(__xludf.DUMMYFUNCTION("""COMPUTED_VALUE"""),"Goldmilk")</f>
        <v>Goldmilk</v>
      </c>
      <c r="N322" s="9" t="str">
        <f>IFERROR(__xludf.DUMMYFUNCTION("""COMPUTED_VALUE"""),"Less Sugar")</f>
        <v>Less Sugar</v>
      </c>
      <c r="O322" s="9" t="str">
        <f>IFERROR(__xludf.DUMMYFUNCTION("""COMPUTED_VALUE"""),"Carton")</f>
        <v>Carton</v>
      </c>
      <c r="P322" s="9">
        <f>IFERROR(__xludf.DUMMYFUNCTION("""COMPUTED_VALUE"""),180.0)</f>
        <v>180</v>
      </c>
      <c r="Q322" s="9" t="str">
        <f>IFERROR(__xludf.DUMMYFUNCTION("""COMPUTED_VALUE"""),"Q2'23")</f>
        <v>Q2'23</v>
      </c>
      <c r="R322" s="9">
        <f>IFERROR(__xludf.DUMMYFUNCTION("""COMPUTED_VALUE"""),0.9937687419789611)</f>
        <v>0.993768742</v>
      </c>
    </row>
    <row r="323" ht="14.25" customHeight="1">
      <c r="A323" s="3" t="s">
        <v>23</v>
      </c>
      <c r="B323" s="3" t="s">
        <v>36</v>
      </c>
      <c r="C323" s="3" t="s">
        <v>36</v>
      </c>
      <c r="D323" s="3" t="s">
        <v>37</v>
      </c>
      <c r="E323" s="3" t="s">
        <v>14</v>
      </c>
      <c r="F323" s="3">
        <v>180.0</v>
      </c>
      <c r="G323" s="4" t="s">
        <v>16</v>
      </c>
      <c r="H323" s="3">
        <v>1.4406912345810214</v>
      </c>
      <c r="K323" s="9" t="str">
        <f>IFERROR(__xludf.DUMMYFUNCTION("""COMPUTED_VALUE"""),"TT Off North")</f>
        <v>TT Off North</v>
      </c>
      <c r="L323" s="9" t="str">
        <f>IFERROR(__xludf.DUMMYFUNCTION("""COMPUTED_VALUE"""),"Goldmilk")</f>
        <v>Goldmilk</v>
      </c>
      <c r="M323" s="9" t="str">
        <f>IFERROR(__xludf.DUMMYFUNCTION("""COMPUTED_VALUE"""),"Goldmilk")</f>
        <v>Goldmilk</v>
      </c>
      <c r="N323" s="9" t="str">
        <f>IFERROR(__xludf.DUMMYFUNCTION("""COMPUTED_VALUE"""),"Less Sugar")</f>
        <v>Less Sugar</v>
      </c>
      <c r="O323" s="9" t="str">
        <f>IFERROR(__xludf.DUMMYFUNCTION("""COMPUTED_VALUE"""),"Carton")</f>
        <v>Carton</v>
      </c>
      <c r="P323" s="9">
        <f>IFERROR(__xludf.DUMMYFUNCTION("""COMPUTED_VALUE"""),180.0)</f>
        <v>180</v>
      </c>
      <c r="Q323" s="9" t="str">
        <f>IFERROR(__xludf.DUMMYFUNCTION("""COMPUTED_VALUE"""),"Q3'23")</f>
        <v>Q3'23</v>
      </c>
      <c r="R323" s="9">
        <f>IFERROR(__xludf.DUMMYFUNCTION("""COMPUTED_VALUE"""),0.8131218735521127)</f>
        <v>0.8131218736</v>
      </c>
    </row>
    <row r="324" ht="14.25" customHeight="1">
      <c r="A324" s="3" t="s">
        <v>23</v>
      </c>
      <c r="B324" s="3" t="s">
        <v>36</v>
      </c>
      <c r="C324" s="3" t="s">
        <v>36</v>
      </c>
      <c r="D324" s="3" t="s">
        <v>37</v>
      </c>
      <c r="E324" s="3" t="s">
        <v>14</v>
      </c>
      <c r="F324" s="3">
        <v>180.0</v>
      </c>
      <c r="G324" s="4" t="s">
        <v>17</v>
      </c>
      <c r="H324" s="3">
        <v>1.4048496269783066</v>
      </c>
      <c r="K324" s="9" t="str">
        <f>IFERROR(__xludf.DUMMYFUNCTION("""COMPUTED_VALUE"""),"TT Off North")</f>
        <v>TT Off North</v>
      </c>
      <c r="L324" s="9" t="str">
        <f>IFERROR(__xludf.DUMMYFUNCTION("""COMPUTED_VALUE"""),"Goldmilk")</f>
        <v>Goldmilk</v>
      </c>
      <c r="M324" s="9" t="str">
        <f>IFERROR(__xludf.DUMMYFUNCTION("""COMPUTED_VALUE"""),"Goldmilk")</f>
        <v>Goldmilk</v>
      </c>
      <c r="N324" s="9" t="str">
        <f>IFERROR(__xludf.DUMMYFUNCTION("""COMPUTED_VALUE"""),"Less Sugar")</f>
        <v>Less Sugar</v>
      </c>
      <c r="O324" s="9" t="str">
        <f>IFERROR(__xludf.DUMMYFUNCTION("""COMPUTED_VALUE"""),"Carton")</f>
        <v>Carton</v>
      </c>
      <c r="P324" s="9">
        <f>IFERROR(__xludf.DUMMYFUNCTION("""COMPUTED_VALUE"""),180.0)</f>
        <v>180</v>
      </c>
      <c r="Q324" s="9" t="str">
        <f>IFERROR(__xludf.DUMMYFUNCTION("""COMPUTED_VALUE"""),"Q4'23")</f>
        <v>Q4'23</v>
      </c>
      <c r="R324" s="9">
        <f>IFERROR(__xludf.DUMMYFUNCTION("""COMPUTED_VALUE"""),0.9776090083786458)</f>
        <v>0.9776090084</v>
      </c>
    </row>
    <row r="325" ht="14.25" customHeight="1">
      <c r="A325" s="3" t="s">
        <v>23</v>
      </c>
      <c r="B325" s="3" t="s">
        <v>36</v>
      </c>
      <c r="C325" s="3" t="s">
        <v>36</v>
      </c>
      <c r="D325" s="3" t="s">
        <v>37</v>
      </c>
      <c r="E325" s="3" t="s">
        <v>14</v>
      </c>
      <c r="F325" s="3">
        <v>180.0</v>
      </c>
      <c r="G325" s="4" t="s">
        <v>18</v>
      </c>
      <c r="H325" s="3">
        <v>1.411981320904472</v>
      </c>
      <c r="K325" s="9" t="str">
        <f>IFERROR(__xludf.DUMMYFUNCTION("""COMPUTED_VALUE"""),"TT Off North")</f>
        <v>TT Off North</v>
      </c>
      <c r="L325" s="9" t="str">
        <f>IFERROR(__xludf.DUMMYFUNCTION("""COMPUTED_VALUE"""),"Goldmilk")</f>
        <v>Goldmilk</v>
      </c>
      <c r="M325" s="9" t="str">
        <f>IFERROR(__xludf.DUMMYFUNCTION("""COMPUTED_VALUE"""),"Goldmilk")</f>
        <v>Goldmilk</v>
      </c>
      <c r="N325" s="9" t="str">
        <f>IFERROR(__xludf.DUMMYFUNCTION("""COMPUTED_VALUE"""),"Sweetened")</f>
        <v>Sweetened</v>
      </c>
      <c r="O325" s="9" t="str">
        <f>IFERROR(__xludf.DUMMYFUNCTION("""COMPUTED_VALUE"""),"Carton")</f>
        <v>Carton</v>
      </c>
      <c r="P325" s="9">
        <f>IFERROR(__xludf.DUMMYFUNCTION("""COMPUTED_VALUE"""),110.0)</f>
        <v>110</v>
      </c>
      <c r="Q325" s="9" t="str">
        <f>IFERROR(__xludf.DUMMYFUNCTION("""COMPUTED_VALUE"""),"Q1'22")</f>
        <v>Q1'22</v>
      </c>
      <c r="R325" s="9">
        <f>IFERROR(__xludf.DUMMYFUNCTION("""COMPUTED_VALUE"""),4.903451965999108)</f>
        <v>4.903451966</v>
      </c>
    </row>
    <row r="326" ht="14.25" customHeight="1">
      <c r="A326" s="3" t="s">
        <v>23</v>
      </c>
      <c r="B326" s="3" t="s">
        <v>36</v>
      </c>
      <c r="C326" s="3" t="s">
        <v>36</v>
      </c>
      <c r="D326" s="3" t="s">
        <v>37</v>
      </c>
      <c r="E326" s="3" t="s">
        <v>14</v>
      </c>
      <c r="F326" s="3">
        <v>180.0</v>
      </c>
      <c r="G326" s="4" t="s">
        <v>19</v>
      </c>
      <c r="H326" s="3">
        <v>1.5765325217560424</v>
      </c>
      <c r="K326" s="9" t="str">
        <f>IFERROR(__xludf.DUMMYFUNCTION("""COMPUTED_VALUE"""),"TT Off North")</f>
        <v>TT Off North</v>
      </c>
      <c r="L326" s="9" t="str">
        <f>IFERROR(__xludf.DUMMYFUNCTION("""COMPUTED_VALUE"""),"Goldmilk")</f>
        <v>Goldmilk</v>
      </c>
      <c r="M326" s="9" t="str">
        <f>IFERROR(__xludf.DUMMYFUNCTION("""COMPUTED_VALUE"""),"Goldmilk")</f>
        <v>Goldmilk</v>
      </c>
      <c r="N326" s="9" t="str">
        <f>IFERROR(__xludf.DUMMYFUNCTION("""COMPUTED_VALUE"""),"Sweetened")</f>
        <v>Sweetened</v>
      </c>
      <c r="O326" s="9" t="str">
        <f>IFERROR(__xludf.DUMMYFUNCTION("""COMPUTED_VALUE"""),"Carton")</f>
        <v>Carton</v>
      </c>
      <c r="P326" s="9">
        <f>IFERROR(__xludf.DUMMYFUNCTION("""COMPUTED_VALUE"""),110.0)</f>
        <v>110</v>
      </c>
      <c r="Q326" s="9" t="str">
        <f>IFERROR(__xludf.DUMMYFUNCTION("""COMPUTED_VALUE"""),"Q2'22")</f>
        <v>Q2'22</v>
      </c>
      <c r="R326" s="9">
        <f>IFERROR(__xludf.DUMMYFUNCTION("""COMPUTED_VALUE"""),3.8927322560601114)</f>
        <v>3.892732256</v>
      </c>
    </row>
    <row r="327" ht="14.25" customHeight="1">
      <c r="A327" s="3" t="s">
        <v>23</v>
      </c>
      <c r="B327" s="3" t="s">
        <v>36</v>
      </c>
      <c r="C327" s="3" t="s">
        <v>36</v>
      </c>
      <c r="D327" s="3" t="s">
        <v>37</v>
      </c>
      <c r="E327" s="3" t="s">
        <v>14</v>
      </c>
      <c r="F327" s="3">
        <v>180.0</v>
      </c>
      <c r="G327" s="4" t="s">
        <v>20</v>
      </c>
      <c r="H327" s="3">
        <v>1.465947712107158</v>
      </c>
      <c r="K327" s="9" t="str">
        <f>IFERROR(__xludf.DUMMYFUNCTION("""COMPUTED_VALUE"""),"TT Off North")</f>
        <v>TT Off North</v>
      </c>
      <c r="L327" s="9" t="str">
        <f>IFERROR(__xludf.DUMMYFUNCTION("""COMPUTED_VALUE"""),"Goldmilk")</f>
        <v>Goldmilk</v>
      </c>
      <c r="M327" s="9" t="str">
        <f>IFERROR(__xludf.DUMMYFUNCTION("""COMPUTED_VALUE"""),"Goldmilk")</f>
        <v>Goldmilk</v>
      </c>
      <c r="N327" s="9" t="str">
        <f>IFERROR(__xludf.DUMMYFUNCTION("""COMPUTED_VALUE"""),"Sweetened")</f>
        <v>Sweetened</v>
      </c>
      <c r="O327" s="9" t="str">
        <f>IFERROR(__xludf.DUMMYFUNCTION("""COMPUTED_VALUE"""),"Carton")</f>
        <v>Carton</v>
      </c>
      <c r="P327" s="9">
        <f>IFERROR(__xludf.DUMMYFUNCTION("""COMPUTED_VALUE"""),110.0)</f>
        <v>110</v>
      </c>
      <c r="Q327" s="9" t="str">
        <f>IFERROR(__xludf.DUMMYFUNCTION("""COMPUTED_VALUE"""),"Q3'22")</f>
        <v>Q3'22</v>
      </c>
      <c r="R327" s="9">
        <f>IFERROR(__xludf.DUMMYFUNCTION("""COMPUTED_VALUE"""),3.318459396770256)</f>
        <v>3.318459397</v>
      </c>
    </row>
    <row r="328" ht="14.25" customHeight="1">
      <c r="A328" s="3" t="s">
        <v>23</v>
      </c>
      <c r="B328" s="3" t="s">
        <v>36</v>
      </c>
      <c r="C328" s="3" t="s">
        <v>36</v>
      </c>
      <c r="D328" s="3" t="s">
        <v>37</v>
      </c>
      <c r="E328" s="3" t="s">
        <v>14</v>
      </c>
      <c r="F328" s="3">
        <v>180.0</v>
      </c>
      <c r="G328" s="4" t="s">
        <v>21</v>
      </c>
      <c r="H328" s="3">
        <v>1.346550363415911</v>
      </c>
      <c r="K328" s="9" t="str">
        <f>IFERROR(__xludf.DUMMYFUNCTION("""COMPUTED_VALUE"""),"TT Off North")</f>
        <v>TT Off North</v>
      </c>
      <c r="L328" s="9" t="str">
        <f>IFERROR(__xludf.DUMMYFUNCTION("""COMPUTED_VALUE"""),"Goldmilk")</f>
        <v>Goldmilk</v>
      </c>
      <c r="M328" s="9" t="str">
        <f>IFERROR(__xludf.DUMMYFUNCTION("""COMPUTED_VALUE"""),"Goldmilk")</f>
        <v>Goldmilk</v>
      </c>
      <c r="N328" s="9" t="str">
        <f>IFERROR(__xludf.DUMMYFUNCTION("""COMPUTED_VALUE"""),"Sweetened")</f>
        <v>Sweetened</v>
      </c>
      <c r="O328" s="9" t="str">
        <f>IFERROR(__xludf.DUMMYFUNCTION("""COMPUTED_VALUE"""),"Carton")</f>
        <v>Carton</v>
      </c>
      <c r="P328" s="9">
        <f>IFERROR(__xludf.DUMMYFUNCTION("""COMPUTED_VALUE"""),110.0)</f>
        <v>110</v>
      </c>
      <c r="Q328" s="9" t="str">
        <f>IFERROR(__xludf.DUMMYFUNCTION("""COMPUTED_VALUE"""),"Q4'22")</f>
        <v>Q4'22</v>
      </c>
      <c r="R328" s="9">
        <f>IFERROR(__xludf.DUMMYFUNCTION("""COMPUTED_VALUE"""),3.3353883203659778)</f>
        <v>3.33538832</v>
      </c>
    </row>
    <row r="329" ht="14.25" customHeight="1">
      <c r="A329" s="3" t="s">
        <v>23</v>
      </c>
      <c r="B329" s="3" t="s">
        <v>36</v>
      </c>
      <c r="C329" s="3" t="s">
        <v>36</v>
      </c>
      <c r="D329" s="3" t="s">
        <v>37</v>
      </c>
      <c r="E329" s="3" t="s">
        <v>14</v>
      </c>
      <c r="F329" s="3">
        <v>180.0</v>
      </c>
      <c r="G329" s="4" t="s">
        <v>22</v>
      </c>
      <c r="H329" s="3">
        <v>1.666294467277099</v>
      </c>
      <c r="K329" s="9" t="str">
        <f>IFERROR(__xludf.DUMMYFUNCTION("""COMPUTED_VALUE"""),"TT Off North")</f>
        <v>TT Off North</v>
      </c>
      <c r="L329" s="9" t="str">
        <f>IFERROR(__xludf.DUMMYFUNCTION("""COMPUTED_VALUE"""),"Goldmilk")</f>
        <v>Goldmilk</v>
      </c>
      <c r="M329" s="9" t="str">
        <f>IFERROR(__xludf.DUMMYFUNCTION("""COMPUTED_VALUE"""),"Goldmilk")</f>
        <v>Goldmilk</v>
      </c>
      <c r="N329" s="9" t="str">
        <f>IFERROR(__xludf.DUMMYFUNCTION("""COMPUTED_VALUE"""),"Sweetened")</f>
        <v>Sweetened</v>
      </c>
      <c r="O329" s="9" t="str">
        <f>IFERROR(__xludf.DUMMYFUNCTION("""COMPUTED_VALUE"""),"Carton")</f>
        <v>Carton</v>
      </c>
      <c r="P329" s="9">
        <f>IFERROR(__xludf.DUMMYFUNCTION("""COMPUTED_VALUE"""),110.0)</f>
        <v>110</v>
      </c>
      <c r="Q329" s="9" t="str">
        <f>IFERROR(__xludf.DUMMYFUNCTION("""COMPUTED_VALUE"""),"Q1'23")</f>
        <v>Q1'23</v>
      </c>
      <c r="R329" s="9">
        <f>IFERROR(__xludf.DUMMYFUNCTION("""COMPUTED_VALUE"""),3.7934079906857447)</f>
        <v>3.793407991</v>
      </c>
    </row>
    <row r="330" ht="14.25" customHeight="1">
      <c r="A330" s="3" t="s">
        <v>23</v>
      </c>
      <c r="B330" s="3" t="s">
        <v>36</v>
      </c>
      <c r="C330" s="3" t="s">
        <v>36</v>
      </c>
      <c r="D330" s="3" t="s">
        <v>13</v>
      </c>
      <c r="E330" s="3" t="s">
        <v>14</v>
      </c>
      <c r="F330" s="3">
        <v>110.0</v>
      </c>
      <c r="G330" s="4" t="s">
        <v>15</v>
      </c>
      <c r="H330" s="3">
        <v>2.8670185078315242</v>
      </c>
      <c r="K330" s="9" t="str">
        <f>IFERROR(__xludf.DUMMYFUNCTION("""COMPUTED_VALUE"""),"TT Off North")</f>
        <v>TT Off North</v>
      </c>
      <c r="L330" s="9" t="str">
        <f>IFERROR(__xludf.DUMMYFUNCTION("""COMPUTED_VALUE"""),"Goldmilk")</f>
        <v>Goldmilk</v>
      </c>
      <c r="M330" s="9" t="str">
        <f>IFERROR(__xludf.DUMMYFUNCTION("""COMPUTED_VALUE"""),"Goldmilk")</f>
        <v>Goldmilk</v>
      </c>
      <c r="N330" s="9" t="str">
        <f>IFERROR(__xludf.DUMMYFUNCTION("""COMPUTED_VALUE"""),"Sweetened")</f>
        <v>Sweetened</v>
      </c>
      <c r="O330" s="9" t="str">
        <f>IFERROR(__xludf.DUMMYFUNCTION("""COMPUTED_VALUE"""),"Carton")</f>
        <v>Carton</v>
      </c>
      <c r="P330" s="9">
        <f>IFERROR(__xludf.DUMMYFUNCTION("""COMPUTED_VALUE"""),110.0)</f>
        <v>110</v>
      </c>
      <c r="Q330" s="9" t="str">
        <f>IFERROR(__xludf.DUMMYFUNCTION("""COMPUTED_VALUE"""),"Q2'23")</f>
        <v>Q2'23</v>
      </c>
      <c r="R330" s="9">
        <f>IFERROR(__xludf.DUMMYFUNCTION("""COMPUTED_VALUE"""),3.6522938643811904)</f>
        <v>3.652293864</v>
      </c>
    </row>
    <row r="331" ht="14.25" customHeight="1">
      <c r="A331" s="3" t="s">
        <v>23</v>
      </c>
      <c r="B331" s="3" t="s">
        <v>36</v>
      </c>
      <c r="C331" s="3" t="s">
        <v>36</v>
      </c>
      <c r="D331" s="3" t="s">
        <v>13</v>
      </c>
      <c r="E331" s="3" t="s">
        <v>14</v>
      </c>
      <c r="F331" s="3">
        <v>110.0</v>
      </c>
      <c r="G331" s="4" t="s">
        <v>16</v>
      </c>
      <c r="H331" s="3">
        <v>2.422392374230707</v>
      </c>
      <c r="K331" s="9" t="str">
        <f>IFERROR(__xludf.DUMMYFUNCTION("""COMPUTED_VALUE"""),"TT Off North")</f>
        <v>TT Off North</v>
      </c>
      <c r="L331" s="9" t="str">
        <f>IFERROR(__xludf.DUMMYFUNCTION("""COMPUTED_VALUE"""),"Goldmilk")</f>
        <v>Goldmilk</v>
      </c>
      <c r="M331" s="9" t="str">
        <f>IFERROR(__xludf.DUMMYFUNCTION("""COMPUTED_VALUE"""),"Goldmilk")</f>
        <v>Goldmilk</v>
      </c>
      <c r="N331" s="9" t="str">
        <f>IFERROR(__xludf.DUMMYFUNCTION("""COMPUTED_VALUE"""),"Sweetened")</f>
        <v>Sweetened</v>
      </c>
      <c r="O331" s="9" t="str">
        <f>IFERROR(__xludf.DUMMYFUNCTION("""COMPUTED_VALUE"""),"Carton")</f>
        <v>Carton</v>
      </c>
      <c r="P331" s="9">
        <f>IFERROR(__xludf.DUMMYFUNCTION("""COMPUTED_VALUE"""),110.0)</f>
        <v>110</v>
      </c>
      <c r="Q331" s="9" t="str">
        <f>IFERROR(__xludf.DUMMYFUNCTION("""COMPUTED_VALUE"""),"Q3'23")</f>
        <v>Q3'23</v>
      </c>
      <c r="R331" s="9">
        <f>IFERROR(__xludf.DUMMYFUNCTION("""COMPUTED_VALUE"""),3.6730437891083754)</f>
        <v>3.673043789</v>
      </c>
    </row>
    <row r="332" ht="14.25" customHeight="1">
      <c r="A332" s="3" t="s">
        <v>23</v>
      </c>
      <c r="B332" s="3" t="s">
        <v>36</v>
      </c>
      <c r="C332" s="3" t="s">
        <v>36</v>
      </c>
      <c r="D332" s="3" t="s">
        <v>13</v>
      </c>
      <c r="E332" s="3" t="s">
        <v>14</v>
      </c>
      <c r="F332" s="3">
        <v>110.0</v>
      </c>
      <c r="G332" s="4" t="s">
        <v>17</v>
      </c>
      <c r="H332" s="3">
        <v>2.3541707326061125</v>
      </c>
      <c r="K332" s="9" t="str">
        <f>IFERROR(__xludf.DUMMYFUNCTION("""COMPUTED_VALUE"""),"TT Off North")</f>
        <v>TT Off North</v>
      </c>
      <c r="L332" s="9" t="str">
        <f>IFERROR(__xludf.DUMMYFUNCTION("""COMPUTED_VALUE"""),"Goldmilk")</f>
        <v>Goldmilk</v>
      </c>
      <c r="M332" s="9" t="str">
        <f>IFERROR(__xludf.DUMMYFUNCTION("""COMPUTED_VALUE"""),"Goldmilk")</f>
        <v>Goldmilk</v>
      </c>
      <c r="N332" s="9" t="str">
        <f>IFERROR(__xludf.DUMMYFUNCTION("""COMPUTED_VALUE"""),"Sweetened")</f>
        <v>Sweetened</v>
      </c>
      <c r="O332" s="9" t="str">
        <f>IFERROR(__xludf.DUMMYFUNCTION("""COMPUTED_VALUE"""),"Carton")</f>
        <v>Carton</v>
      </c>
      <c r="P332" s="9">
        <f>IFERROR(__xludf.DUMMYFUNCTION("""COMPUTED_VALUE"""),110.0)</f>
        <v>110</v>
      </c>
      <c r="Q332" s="9" t="str">
        <f>IFERROR(__xludf.DUMMYFUNCTION("""COMPUTED_VALUE"""),"Q4'23")</f>
        <v>Q4'23</v>
      </c>
      <c r="R332" s="9">
        <f>IFERROR(__xludf.DUMMYFUNCTION("""COMPUTED_VALUE"""),3.843896520234756)</f>
        <v>3.84389652</v>
      </c>
    </row>
    <row r="333" ht="14.25" customHeight="1">
      <c r="A333" s="3" t="s">
        <v>23</v>
      </c>
      <c r="B333" s="3" t="s">
        <v>36</v>
      </c>
      <c r="C333" s="3" t="s">
        <v>36</v>
      </c>
      <c r="D333" s="3" t="s">
        <v>13</v>
      </c>
      <c r="E333" s="3" t="s">
        <v>14</v>
      </c>
      <c r="F333" s="3">
        <v>110.0</v>
      </c>
      <c r="G333" s="4" t="s">
        <v>18</v>
      </c>
      <c r="H333" s="3">
        <v>2.0462260058448183</v>
      </c>
      <c r="K333" s="9" t="str">
        <f>IFERROR(__xludf.DUMMYFUNCTION("""COMPUTED_VALUE"""),"TT Off North")</f>
        <v>TT Off North</v>
      </c>
      <c r="L333" s="9" t="str">
        <f>IFERROR(__xludf.DUMMYFUNCTION("""COMPUTED_VALUE"""),"Goldmilk")</f>
        <v>Goldmilk</v>
      </c>
      <c r="M333" s="9" t="str">
        <f>IFERROR(__xludf.DUMMYFUNCTION("""COMPUTED_VALUE"""),"Goldmilk")</f>
        <v>Goldmilk</v>
      </c>
      <c r="N333" s="9" t="str">
        <f>IFERROR(__xludf.DUMMYFUNCTION("""COMPUTED_VALUE"""),"Sweetened")</f>
        <v>Sweetened</v>
      </c>
      <c r="O333" s="9" t="str">
        <f>IFERROR(__xludf.DUMMYFUNCTION("""COMPUTED_VALUE"""),"Carton")</f>
        <v>Carton</v>
      </c>
      <c r="P333" s="9">
        <f>IFERROR(__xludf.DUMMYFUNCTION("""COMPUTED_VALUE"""),180.0)</f>
        <v>180</v>
      </c>
      <c r="Q333" s="9" t="str">
        <f>IFERROR(__xludf.DUMMYFUNCTION("""COMPUTED_VALUE"""),"Q1'22")</f>
        <v>Q1'22</v>
      </c>
      <c r="R333" s="9">
        <f>IFERROR(__xludf.DUMMYFUNCTION("""COMPUTED_VALUE"""),8.424399372028018)</f>
        <v>8.424399372</v>
      </c>
    </row>
    <row r="334" ht="14.25" customHeight="1">
      <c r="A334" s="3" t="s">
        <v>23</v>
      </c>
      <c r="B334" s="3" t="s">
        <v>36</v>
      </c>
      <c r="C334" s="3" t="s">
        <v>36</v>
      </c>
      <c r="D334" s="3" t="s">
        <v>13</v>
      </c>
      <c r="E334" s="3" t="s">
        <v>14</v>
      </c>
      <c r="F334" s="3">
        <v>110.0</v>
      </c>
      <c r="G334" s="4" t="s">
        <v>19</v>
      </c>
      <c r="H334" s="3">
        <v>2.43838546965336</v>
      </c>
      <c r="K334" s="9" t="str">
        <f>IFERROR(__xludf.DUMMYFUNCTION("""COMPUTED_VALUE"""),"TT Off North")</f>
        <v>TT Off North</v>
      </c>
      <c r="L334" s="9" t="str">
        <f>IFERROR(__xludf.DUMMYFUNCTION("""COMPUTED_VALUE"""),"Goldmilk")</f>
        <v>Goldmilk</v>
      </c>
      <c r="M334" s="9" t="str">
        <f>IFERROR(__xludf.DUMMYFUNCTION("""COMPUTED_VALUE"""),"Goldmilk")</f>
        <v>Goldmilk</v>
      </c>
      <c r="N334" s="9" t="str">
        <f>IFERROR(__xludf.DUMMYFUNCTION("""COMPUTED_VALUE"""),"Sweetened")</f>
        <v>Sweetened</v>
      </c>
      <c r="O334" s="9" t="str">
        <f>IFERROR(__xludf.DUMMYFUNCTION("""COMPUTED_VALUE"""),"Carton")</f>
        <v>Carton</v>
      </c>
      <c r="P334" s="9">
        <f>IFERROR(__xludf.DUMMYFUNCTION("""COMPUTED_VALUE"""),180.0)</f>
        <v>180</v>
      </c>
      <c r="Q334" s="9" t="str">
        <f>IFERROR(__xludf.DUMMYFUNCTION("""COMPUTED_VALUE"""),"Q2'22")</f>
        <v>Q2'22</v>
      </c>
      <c r="R334" s="9">
        <f>IFERROR(__xludf.DUMMYFUNCTION("""COMPUTED_VALUE"""),7.163900259683823)</f>
        <v>7.16390026</v>
      </c>
    </row>
    <row r="335" ht="14.25" customHeight="1">
      <c r="A335" s="3" t="s">
        <v>23</v>
      </c>
      <c r="B335" s="3" t="s">
        <v>36</v>
      </c>
      <c r="C335" s="3" t="s">
        <v>36</v>
      </c>
      <c r="D335" s="3" t="s">
        <v>13</v>
      </c>
      <c r="E335" s="3" t="s">
        <v>14</v>
      </c>
      <c r="F335" s="3">
        <v>110.0</v>
      </c>
      <c r="G335" s="4" t="s">
        <v>20</v>
      </c>
      <c r="H335" s="3">
        <v>2.3096808988433635</v>
      </c>
      <c r="K335" s="9" t="str">
        <f>IFERROR(__xludf.DUMMYFUNCTION("""COMPUTED_VALUE"""),"TT Off North")</f>
        <v>TT Off North</v>
      </c>
      <c r="L335" s="9" t="str">
        <f>IFERROR(__xludf.DUMMYFUNCTION("""COMPUTED_VALUE"""),"Goldmilk")</f>
        <v>Goldmilk</v>
      </c>
      <c r="M335" s="9" t="str">
        <f>IFERROR(__xludf.DUMMYFUNCTION("""COMPUTED_VALUE"""),"Goldmilk")</f>
        <v>Goldmilk</v>
      </c>
      <c r="N335" s="9" t="str">
        <f>IFERROR(__xludf.DUMMYFUNCTION("""COMPUTED_VALUE"""),"Sweetened")</f>
        <v>Sweetened</v>
      </c>
      <c r="O335" s="9" t="str">
        <f>IFERROR(__xludf.DUMMYFUNCTION("""COMPUTED_VALUE"""),"Carton")</f>
        <v>Carton</v>
      </c>
      <c r="P335" s="9">
        <f>IFERROR(__xludf.DUMMYFUNCTION("""COMPUTED_VALUE"""),180.0)</f>
        <v>180</v>
      </c>
      <c r="Q335" s="9" t="str">
        <f>IFERROR(__xludf.DUMMYFUNCTION("""COMPUTED_VALUE"""),"Q3'22")</f>
        <v>Q3'22</v>
      </c>
      <c r="R335" s="9">
        <f>IFERROR(__xludf.DUMMYFUNCTION("""COMPUTED_VALUE"""),5.848391776089243)</f>
        <v>5.848391776</v>
      </c>
    </row>
    <row r="336" ht="14.25" customHeight="1">
      <c r="A336" s="3" t="s">
        <v>23</v>
      </c>
      <c r="B336" s="3" t="s">
        <v>36</v>
      </c>
      <c r="C336" s="3" t="s">
        <v>36</v>
      </c>
      <c r="D336" s="3" t="s">
        <v>13</v>
      </c>
      <c r="E336" s="3" t="s">
        <v>14</v>
      </c>
      <c r="F336" s="3">
        <v>110.0</v>
      </c>
      <c r="G336" s="4" t="s">
        <v>21</v>
      </c>
      <c r="H336" s="3">
        <v>2.190365354888899</v>
      </c>
      <c r="K336" s="9" t="str">
        <f>IFERROR(__xludf.DUMMYFUNCTION("""COMPUTED_VALUE"""),"TT Off North")</f>
        <v>TT Off North</v>
      </c>
      <c r="L336" s="9" t="str">
        <f>IFERROR(__xludf.DUMMYFUNCTION("""COMPUTED_VALUE"""),"Goldmilk")</f>
        <v>Goldmilk</v>
      </c>
      <c r="M336" s="9" t="str">
        <f>IFERROR(__xludf.DUMMYFUNCTION("""COMPUTED_VALUE"""),"Goldmilk")</f>
        <v>Goldmilk</v>
      </c>
      <c r="N336" s="9" t="str">
        <f>IFERROR(__xludf.DUMMYFUNCTION("""COMPUTED_VALUE"""),"Sweetened")</f>
        <v>Sweetened</v>
      </c>
      <c r="O336" s="9" t="str">
        <f>IFERROR(__xludf.DUMMYFUNCTION("""COMPUTED_VALUE"""),"Carton")</f>
        <v>Carton</v>
      </c>
      <c r="P336" s="9">
        <f>IFERROR(__xludf.DUMMYFUNCTION("""COMPUTED_VALUE"""),180.0)</f>
        <v>180</v>
      </c>
      <c r="Q336" s="9" t="str">
        <f>IFERROR(__xludf.DUMMYFUNCTION("""COMPUTED_VALUE"""),"Q4'22")</f>
        <v>Q4'22</v>
      </c>
      <c r="R336" s="9">
        <f>IFERROR(__xludf.DUMMYFUNCTION("""COMPUTED_VALUE"""),4.9838917165425025)</f>
        <v>4.983891717</v>
      </c>
    </row>
    <row r="337" ht="14.25" customHeight="1">
      <c r="A337" s="3" t="s">
        <v>23</v>
      </c>
      <c r="B337" s="3" t="s">
        <v>36</v>
      </c>
      <c r="C337" s="3" t="s">
        <v>36</v>
      </c>
      <c r="D337" s="3" t="s">
        <v>13</v>
      </c>
      <c r="E337" s="3" t="s">
        <v>14</v>
      </c>
      <c r="F337" s="3">
        <v>110.0</v>
      </c>
      <c r="G337" s="4" t="s">
        <v>22</v>
      </c>
      <c r="H337" s="3">
        <v>2.1477543743228913</v>
      </c>
      <c r="K337" s="9" t="str">
        <f>IFERROR(__xludf.DUMMYFUNCTION("""COMPUTED_VALUE"""),"TT Off North")</f>
        <v>TT Off North</v>
      </c>
      <c r="L337" s="9" t="str">
        <f>IFERROR(__xludf.DUMMYFUNCTION("""COMPUTED_VALUE"""),"Goldmilk")</f>
        <v>Goldmilk</v>
      </c>
      <c r="M337" s="9" t="str">
        <f>IFERROR(__xludf.DUMMYFUNCTION("""COMPUTED_VALUE"""),"Goldmilk")</f>
        <v>Goldmilk</v>
      </c>
      <c r="N337" s="9" t="str">
        <f>IFERROR(__xludf.DUMMYFUNCTION("""COMPUTED_VALUE"""),"Sweetened")</f>
        <v>Sweetened</v>
      </c>
      <c r="O337" s="9" t="str">
        <f>IFERROR(__xludf.DUMMYFUNCTION("""COMPUTED_VALUE"""),"Carton")</f>
        <v>Carton</v>
      </c>
      <c r="P337" s="9">
        <f>IFERROR(__xludf.DUMMYFUNCTION("""COMPUTED_VALUE"""),180.0)</f>
        <v>180</v>
      </c>
      <c r="Q337" s="9" t="str">
        <f>IFERROR(__xludf.DUMMYFUNCTION("""COMPUTED_VALUE"""),"Q1'23")</f>
        <v>Q1'23</v>
      </c>
      <c r="R337" s="9">
        <f>IFERROR(__xludf.DUMMYFUNCTION("""COMPUTED_VALUE"""),5.9802209340654615)</f>
        <v>5.980220934</v>
      </c>
    </row>
    <row r="338" ht="14.25" customHeight="1">
      <c r="A338" s="3" t="s">
        <v>23</v>
      </c>
      <c r="B338" s="3" t="s">
        <v>36</v>
      </c>
      <c r="C338" s="3" t="s">
        <v>36</v>
      </c>
      <c r="D338" s="3" t="s">
        <v>13</v>
      </c>
      <c r="E338" s="3" t="s">
        <v>14</v>
      </c>
      <c r="F338" s="3">
        <v>180.0</v>
      </c>
      <c r="G338" s="4" t="s">
        <v>15</v>
      </c>
      <c r="H338" s="3">
        <v>5.730396683942778</v>
      </c>
      <c r="K338" s="9" t="str">
        <f>IFERROR(__xludf.DUMMYFUNCTION("""COMPUTED_VALUE"""),"TT Off North")</f>
        <v>TT Off North</v>
      </c>
      <c r="L338" s="9" t="str">
        <f>IFERROR(__xludf.DUMMYFUNCTION("""COMPUTED_VALUE"""),"Goldmilk")</f>
        <v>Goldmilk</v>
      </c>
      <c r="M338" s="9" t="str">
        <f>IFERROR(__xludf.DUMMYFUNCTION("""COMPUTED_VALUE"""),"Goldmilk")</f>
        <v>Goldmilk</v>
      </c>
      <c r="N338" s="9" t="str">
        <f>IFERROR(__xludf.DUMMYFUNCTION("""COMPUTED_VALUE"""),"Sweetened")</f>
        <v>Sweetened</v>
      </c>
      <c r="O338" s="9" t="str">
        <f>IFERROR(__xludf.DUMMYFUNCTION("""COMPUTED_VALUE"""),"Carton")</f>
        <v>Carton</v>
      </c>
      <c r="P338" s="9">
        <f>IFERROR(__xludf.DUMMYFUNCTION("""COMPUTED_VALUE"""),180.0)</f>
        <v>180</v>
      </c>
      <c r="Q338" s="9" t="str">
        <f>IFERROR(__xludf.DUMMYFUNCTION("""COMPUTED_VALUE"""),"Q2'23")</f>
        <v>Q2'23</v>
      </c>
      <c r="R338" s="9">
        <f>IFERROR(__xludf.DUMMYFUNCTION("""COMPUTED_VALUE"""),5.634179688738848)</f>
        <v>5.634179689</v>
      </c>
    </row>
    <row r="339" ht="14.25" customHeight="1">
      <c r="A339" s="3" t="s">
        <v>23</v>
      </c>
      <c r="B339" s="3" t="s">
        <v>36</v>
      </c>
      <c r="C339" s="3" t="s">
        <v>36</v>
      </c>
      <c r="D339" s="3" t="s">
        <v>13</v>
      </c>
      <c r="E339" s="3" t="s">
        <v>14</v>
      </c>
      <c r="F339" s="3">
        <v>180.0</v>
      </c>
      <c r="G339" s="4" t="s">
        <v>16</v>
      </c>
      <c r="H339" s="3">
        <v>5.1530079828473685</v>
      </c>
      <c r="K339" s="9" t="str">
        <f>IFERROR(__xludf.DUMMYFUNCTION("""COMPUTED_VALUE"""),"TT Off North")</f>
        <v>TT Off North</v>
      </c>
      <c r="L339" s="9" t="str">
        <f>IFERROR(__xludf.DUMMYFUNCTION("""COMPUTED_VALUE"""),"Goldmilk")</f>
        <v>Goldmilk</v>
      </c>
      <c r="M339" s="9" t="str">
        <f>IFERROR(__xludf.DUMMYFUNCTION("""COMPUTED_VALUE"""),"Goldmilk")</f>
        <v>Goldmilk</v>
      </c>
      <c r="N339" s="9" t="str">
        <f>IFERROR(__xludf.DUMMYFUNCTION("""COMPUTED_VALUE"""),"Sweetened")</f>
        <v>Sweetened</v>
      </c>
      <c r="O339" s="9" t="str">
        <f>IFERROR(__xludf.DUMMYFUNCTION("""COMPUTED_VALUE"""),"Carton")</f>
        <v>Carton</v>
      </c>
      <c r="P339" s="9">
        <f>IFERROR(__xludf.DUMMYFUNCTION("""COMPUTED_VALUE"""),180.0)</f>
        <v>180</v>
      </c>
      <c r="Q339" s="9" t="str">
        <f>IFERROR(__xludf.DUMMYFUNCTION("""COMPUTED_VALUE"""),"Q3'23")</f>
        <v>Q3'23</v>
      </c>
      <c r="R339" s="9">
        <f>IFERROR(__xludf.DUMMYFUNCTION("""COMPUTED_VALUE"""),5.236086772551634)</f>
        <v>5.236086773</v>
      </c>
    </row>
    <row r="340" ht="14.25" customHeight="1">
      <c r="A340" s="3" t="s">
        <v>23</v>
      </c>
      <c r="B340" s="3" t="s">
        <v>36</v>
      </c>
      <c r="C340" s="3" t="s">
        <v>36</v>
      </c>
      <c r="D340" s="3" t="s">
        <v>13</v>
      </c>
      <c r="E340" s="3" t="s">
        <v>14</v>
      </c>
      <c r="F340" s="3">
        <v>180.0</v>
      </c>
      <c r="G340" s="4" t="s">
        <v>17</v>
      </c>
      <c r="H340" s="3">
        <v>4.608477391387451</v>
      </c>
      <c r="K340" s="9" t="str">
        <f>IFERROR(__xludf.DUMMYFUNCTION("""COMPUTED_VALUE"""),"TT Off North")</f>
        <v>TT Off North</v>
      </c>
      <c r="L340" s="9" t="str">
        <f>IFERROR(__xludf.DUMMYFUNCTION("""COMPUTED_VALUE"""),"Goldmilk")</f>
        <v>Goldmilk</v>
      </c>
      <c r="M340" s="9" t="str">
        <f>IFERROR(__xludf.DUMMYFUNCTION("""COMPUTED_VALUE"""),"Goldmilk")</f>
        <v>Goldmilk</v>
      </c>
      <c r="N340" s="9" t="str">
        <f>IFERROR(__xludf.DUMMYFUNCTION("""COMPUTED_VALUE"""),"Sweetened")</f>
        <v>Sweetened</v>
      </c>
      <c r="O340" s="9" t="str">
        <f>IFERROR(__xludf.DUMMYFUNCTION("""COMPUTED_VALUE"""),"Carton")</f>
        <v>Carton</v>
      </c>
      <c r="P340" s="9">
        <f>IFERROR(__xludf.DUMMYFUNCTION("""COMPUTED_VALUE"""),180.0)</f>
        <v>180</v>
      </c>
      <c r="Q340" s="9" t="str">
        <f>IFERROR(__xludf.DUMMYFUNCTION("""COMPUTED_VALUE"""),"Q4'23")</f>
        <v>Q4'23</v>
      </c>
      <c r="R340" s="9">
        <f>IFERROR(__xludf.DUMMYFUNCTION("""COMPUTED_VALUE"""),5.471104727083566)</f>
        <v>5.471104727</v>
      </c>
    </row>
    <row r="341" ht="14.25" customHeight="1">
      <c r="A341" s="3" t="s">
        <v>23</v>
      </c>
      <c r="B341" s="3" t="s">
        <v>36</v>
      </c>
      <c r="C341" s="3" t="s">
        <v>36</v>
      </c>
      <c r="D341" s="3" t="s">
        <v>13</v>
      </c>
      <c r="E341" s="3" t="s">
        <v>14</v>
      </c>
      <c r="F341" s="3">
        <v>180.0</v>
      </c>
      <c r="G341" s="4" t="s">
        <v>18</v>
      </c>
      <c r="H341" s="3">
        <v>3.9430359426955253</v>
      </c>
      <c r="K341" s="9" t="str">
        <f>IFERROR(__xludf.DUMMYFUNCTION("""COMPUTED_VALUE"""),"TT Off North")</f>
        <v>TT Off North</v>
      </c>
      <c r="L341" s="9" t="str">
        <f>IFERROR(__xludf.DUMMYFUNCTION("""COMPUTED_VALUE"""),"Farmy")</f>
        <v>Farmy</v>
      </c>
      <c r="M341" s="9" t="str">
        <f>IFERROR(__xludf.DUMMYFUNCTION("""COMPUTED_VALUE"""),"Pro Plus ")</f>
        <v>Pro Plus </v>
      </c>
      <c r="N341" s="9" t="str">
        <f>IFERROR(__xludf.DUMMYFUNCTION("""COMPUTED_VALUE"""),"Vanilla")</f>
        <v>Vanilla</v>
      </c>
      <c r="O341" s="9" t="str">
        <f>IFERROR(__xludf.DUMMYFUNCTION("""COMPUTED_VALUE"""),"Carton")</f>
        <v>Carton</v>
      </c>
      <c r="P341" s="9">
        <f>IFERROR(__xludf.DUMMYFUNCTION("""COMPUTED_VALUE"""),110.0)</f>
        <v>110</v>
      </c>
      <c r="Q341" s="9" t="str">
        <f>IFERROR(__xludf.DUMMYFUNCTION("""COMPUTED_VALUE"""),"Q1'22")</f>
        <v>Q1'22</v>
      </c>
      <c r="R341" s="9">
        <f>IFERROR(__xludf.DUMMYFUNCTION("""COMPUTED_VALUE"""),2.3971589753510525)</f>
        <v>2.397158975</v>
      </c>
    </row>
    <row r="342" ht="14.25" customHeight="1">
      <c r="A342" s="3" t="s">
        <v>23</v>
      </c>
      <c r="B342" s="3" t="s">
        <v>36</v>
      </c>
      <c r="C342" s="3" t="s">
        <v>36</v>
      </c>
      <c r="D342" s="3" t="s">
        <v>13</v>
      </c>
      <c r="E342" s="3" t="s">
        <v>14</v>
      </c>
      <c r="F342" s="3">
        <v>180.0</v>
      </c>
      <c r="G342" s="4" t="s">
        <v>19</v>
      </c>
      <c r="H342" s="3">
        <v>4.63955762151008</v>
      </c>
      <c r="K342" s="9" t="str">
        <f>IFERROR(__xludf.DUMMYFUNCTION("""COMPUTED_VALUE"""),"TT Off North")</f>
        <v>TT Off North</v>
      </c>
      <c r="L342" s="9" t="str">
        <f>IFERROR(__xludf.DUMMYFUNCTION("""COMPUTED_VALUE"""),"Farmy")</f>
        <v>Farmy</v>
      </c>
      <c r="M342" s="9" t="str">
        <f>IFERROR(__xludf.DUMMYFUNCTION("""COMPUTED_VALUE"""),"Pro Plus ")</f>
        <v>Pro Plus </v>
      </c>
      <c r="N342" s="9" t="str">
        <f>IFERROR(__xludf.DUMMYFUNCTION("""COMPUTED_VALUE"""),"Vanilla")</f>
        <v>Vanilla</v>
      </c>
      <c r="O342" s="9" t="str">
        <f>IFERROR(__xludf.DUMMYFUNCTION("""COMPUTED_VALUE"""),"Carton")</f>
        <v>Carton</v>
      </c>
      <c r="P342" s="9">
        <f>IFERROR(__xludf.DUMMYFUNCTION("""COMPUTED_VALUE"""),110.0)</f>
        <v>110</v>
      </c>
      <c r="Q342" s="9" t="str">
        <f>IFERROR(__xludf.DUMMYFUNCTION("""COMPUTED_VALUE"""),"Q2'22")</f>
        <v>Q2'22</v>
      </c>
      <c r="R342" s="9">
        <f>IFERROR(__xludf.DUMMYFUNCTION("""COMPUTED_VALUE"""),2.3801461518321685)</f>
        <v>2.380146152</v>
      </c>
    </row>
    <row r="343" ht="14.25" customHeight="1">
      <c r="A343" s="3" t="s">
        <v>23</v>
      </c>
      <c r="B343" s="3" t="s">
        <v>36</v>
      </c>
      <c r="C343" s="3" t="s">
        <v>36</v>
      </c>
      <c r="D343" s="3" t="s">
        <v>13</v>
      </c>
      <c r="E343" s="3" t="s">
        <v>14</v>
      </c>
      <c r="F343" s="3">
        <v>180.0</v>
      </c>
      <c r="G343" s="4" t="s">
        <v>20</v>
      </c>
      <c r="H343" s="3">
        <v>4.447856361450525</v>
      </c>
      <c r="K343" s="9" t="str">
        <f>IFERROR(__xludf.DUMMYFUNCTION("""COMPUTED_VALUE"""),"TT Off North")</f>
        <v>TT Off North</v>
      </c>
      <c r="L343" s="9" t="str">
        <f>IFERROR(__xludf.DUMMYFUNCTION("""COMPUTED_VALUE"""),"Farmy")</f>
        <v>Farmy</v>
      </c>
      <c r="M343" s="9" t="str">
        <f>IFERROR(__xludf.DUMMYFUNCTION("""COMPUTED_VALUE"""),"Pro Plus ")</f>
        <v>Pro Plus </v>
      </c>
      <c r="N343" s="9" t="str">
        <f>IFERROR(__xludf.DUMMYFUNCTION("""COMPUTED_VALUE"""),"Vanilla")</f>
        <v>Vanilla</v>
      </c>
      <c r="O343" s="9" t="str">
        <f>IFERROR(__xludf.DUMMYFUNCTION("""COMPUTED_VALUE"""),"Carton")</f>
        <v>Carton</v>
      </c>
      <c r="P343" s="9">
        <f>IFERROR(__xludf.DUMMYFUNCTION("""COMPUTED_VALUE"""),110.0)</f>
        <v>110</v>
      </c>
      <c r="Q343" s="9" t="str">
        <f>IFERROR(__xludf.DUMMYFUNCTION("""COMPUTED_VALUE"""),"Q3'22")</f>
        <v>Q3'22</v>
      </c>
      <c r="R343" s="9">
        <f>IFERROR(__xludf.DUMMYFUNCTION("""COMPUTED_VALUE"""),2.5323815412293853)</f>
        <v>2.532381541</v>
      </c>
    </row>
    <row r="344" ht="14.25" customHeight="1">
      <c r="A344" s="3" t="s">
        <v>23</v>
      </c>
      <c r="B344" s="3" t="s">
        <v>36</v>
      </c>
      <c r="C344" s="3" t="s">
        <v>36</v>
      </c>
      <c r="D344" s="3" t="s">
        <v>13</v>
      </c>
      <c r="E344" s="3" t="s">
        <v>14</v>
      </c>
      <c r="F344" s="3">
        <v>180.0</v>
      </c>
      <c r="G344" s="4" t="s">
        <v>21</v>
      </c>
      <c r="H344" s="3">
        <v>3.8387138952778788</v>
      </c>
      <c r="K344" s="9" t="str">
        <f>IFERROR(__xludf.DUMMYFUNCTION("""COMPUTED_VALUE"""),"TT Off North")</f>
        <v>TT Off North</v>
      </c>
      <c r="L344" s="9" t="str">
        <f>IFERROR(__xludf.DUMMYFUNCTION("""COMPUTED_VALUE"""),"Farmy")</f>
        <v>Farmy</v>
      </c>
      <c r="M344" s="9" t="str">
        <f>IFERROR(__xludf.DUMMYFUNCTION("""COMPUTED_VALUE"""),"Pro Plus ")</f>
        <v>Pro Plus </v>
      </c>
      <c r="N344" s="9" t="str">
        <f>IFERROR(__xludf.DUMMYFUNCTION("""COMPUTED_VALUE"""),"Vanilla")</f>
        <v>Vanilla</v>
      </c>
      <c r="O344" s="9" t="str">
        <f>IFERROR(__xludf.DUMMYFUNCTION("""COMPUTED_VALUE"""),"Carton")</f>
        <v>Carton</v>
      </c>
      <c r="P344" s="9">
        <f>IFERROR(__xludf.DUMMYFUNCTION("""COMPUTED_VALUE"""),110.0)</f>
        <v>110</v>
      </c>
      <c r="Q344" s="9" t="str">
        <f>IFERROR(__xludf.DUMMYFUNCTION("""COMPUTED_VALUE"""),"Q4'22")</f>
        <v>Q4'22</v>
      </c>
      <c r="R344" s="9">
        <f>IFERROR(__xludf.DUMMYFUNCTION("""COMPUTED_VALUE"""),2.790309462881934)</f>
        <v>2.790309463</v>
      </c>
    </row>
    <row r="345" ht="14.25" customHeight="1">
      <c r="A345" s="3" t="s">
        <v>23</v>
      </c>
      <c r="B345" s="3" t="s">
        <v>36</v>
      </c>
      <c r="C345" s="3" t="s">
        <v>36</v>
      </c>
      <c r="D345" s="3" t="s">
        <v>13</v>
      </c>
      <c r="E345" s="3" t="s">
        <v>14</v>
      </c>
      <c r="F345" s="3">
        <v>180.0</v>
      </c>
      <c r="G345" s="4" t="s">
        <v>22</v>
      </c>
      <c r="H345" s="3">
        <v>4.019980949032917</v>
      </c>
      <c r="K345" s="9" t="str">
        <f>IFERROR(__xludf.DUMMYFUNCTION("""COMPUTED_VALUE"""),"TT Off North")</f>
        <v>TT Off North</v>
      </c>
      <c r="L345" s="9" t="str">
        <f>IFERROR(__xludf.DUMMYFUNCTION("""COMPUTED_VALUE"""),"Farmy")</f>
        <v>Farmy</v>
      </c>
      <c r="M345" s="9" t="str">
        <f>IFERROR(__xludf.DUMMYFUNCTION("""COMPUTED_VALUE"""),"Pro Plus ")</f>
        <v>Pro Plus </v>
      </c>
      <c r="N345" s="9" t="str">
        <f>IFERROR(__xludf.DUMMYFUNCTION("""COMPUTED_VALUE"""),"Vanilla")</f>
        <v>Vanilla</v>
      </c>
      <c r="O345" s="9" t="str">
        <f>IFERROR(__xludf.DUMMYFUNCTION("""COMPUTED_VALUE"""),"Carton")</f>
        <v>Carton</v>
      </c>
      <c r="P345" s="9">
        <f>IFERROR(__xludf.DUMMYFUNCTION("""COMPUTED_VALUE"""),110.0)</f>
        <v>110</v>
      </c>
      <c r="Q345" s="9" t="str">
        <f>IFERROR(__xludf.DUMMYFUNCTION("""COMPUTED_VALUE"""),"Q1'23")</f>
        <v>Q1'23</v>
      </c>
      <c r="R345" s="9">
        <f>IFERROR(__xludf.DUMMYFUNCTION("""COMPUTED_VALUE"""),2.7018843604623646)</f>
        <v>2.70188436</v>
      </c>
    </row>
    <row r="346" ht="14.25" customHeight="1">
      <c r="A346" s="3" t="s">
        <v>23</v>
      </c>
      <c r="B346" s="3" t="s">
        <v>32</v>
      </c>
      <c r="C346" s="3" t="s">
        <v>46</v>
      </c>
      <c r="D346" s="3" t="s">
        <v>34</v>
      </c>
      <c r="E346" s="3" t="s">
        <v>14</v>
      </c>
      <c r="F346" s="3">
        <v>110.0</v>
      </c>
      <c r="G346" s="4" t="s">
        <v>15</v>
      </c>
      <c r="H346" s="3">
        <v>2.6364064227146375</v>
      </c>
      <c r="K346" s="9" t="str">
        <f>IFERROR(__xludf.DUMMYFUNCTION("""COMPUTED_VALUE"""),"TT Off North")</f>
        <v>TT Off North</v>
      </c>
      <c r="L346" s="9" t="str">
        <f>IFERROR(__xludf.DUMMYFUNCTION("""COMPUTED_VALUE"""),"Farmy")</f>
        <v>Farmy</v>
      </c>
      <c r="M346" s="9" t="str">
        <f>IFERROR(__xludf.DUMMYFUNCTION("""COMPUTED_VALUE"""),"Pro Plus ")</f>
        <v>Pro Plus </v>
      </c>
      <c r="N346" s="9" t="str">
        <f>IFERROR(__xludf.DUMMYFUNCTION("""COMPUTED_VALUE"""),"Vanilla")</f>
        <v>Vanilla</v>
      </c>
      <c r="O346" s="9" t="str">
        <f>IFERROR(__xludf.DUMMYFUNCTION("""COMPUTED_VALUE"""),"Carton")</f>
        <v>Carton</v>
      </c>
      <c r="P346" s="9">
        <f>IFERROR(__xludf.DUMMYFUNCTION("""COMPUTED_VALUE"""),110.0)</f>
        <v>110</v>
      </c>
      <c r="Q346" s="9" t="str">
        <f>IFERROR(__xludf.DUMMYFUNCTION("""COMPUTED_VALUE"""),"Q2'23")</f>
        <v>Q2'23</v>
      </c>
      <c r="R346" s="9">
        <f>IFERROR(__xludf.DUMMYFUNCTION("""COMPUTED_VALUE"""),2.3662944699778117)</f>
        <v>2.36629447</v>
      </c>
    </row>
    <row r="347" ht="14.25" customHeight="1">
      <c r="A347" s="3" t="s">
        <v>23</v>
      </c>
      <c r="B347" s="3" t="s">
        <v>32</v>
      </c>
      <c r="C347" s="3" t="s">
        <v>46</v>
      </c>
      <c r="D347" s="3" t="s">
        <v>34</v>
      </c>
      <c r="E347" s="3" t="s">
        <v>14</v>
      </c>
      <c r="F347" s="3">
        <v>110.0</v>
      </c>
      <c r="G347" s="4" t="s">
        <v>16</v>
      </c>
      <c r="H347" s="3">
        <v>2.88736203248112</v>
      </c>
      <c r="K347" s="9" t="str">
        <f>IFERROR(__xludf.DUMMYFUNCTION("""COMPUTED_VALUE"""),"TT Off North")</f>
        <v>TT Off North</v>
      </c>
      <c r="L347" s="9" t="str">
        <f>IFERROR(__xludf.DUMMYFUNCTION("""COMPUTED_VALUE"""),"Farmy")</f>
        <v>Farmy</v>
      </c>
      <c r="M347" s="9" t="str">
        <f>IFERROR(__xludf.DUMMYFUNCTION("""COMPUTED_VALUE"""),"Pro Plus ")</f>
        <v>Pro Plus </v>
      </c>
      <c r="N347" s="9" t="str">
        <f>IFERROR(__xludf.DUMMYFUNCTION("""COMPUTED_VALUE"""),"Vanilla")</f>
        <v>Vanilla</v>
      </c>
      <c r="O347" s="9" t="str">
        <f>IFERROR(__xludf.DUMMYFUNCTION("""COMPUTED_VALUE"""),"Carton")</f>
        <v>Carton</v>
      </c>
      <c r="P347" s="9">
        <f>IFERROR(__xludf.DUMMYFUNCTION("""COMPUTED_VALUE"""),110.0)</f>
        <v>110</v>
      </c>
      <c r="Q347" s="9" t="str">
        <f>IFERROR(__xludf.DUMMYFUNCTION("""COMPUTED_VALUE"""),"Q3'23")</f>
        <v>Q3'23</v>
      </c>
      <c r="R347" s="9">
        <f>IFERROR(__xludf.DUMMYFUNCTION("""COMPUTED_VALUE"""),2.556057813056899)</f>
        <v>2.556057813</v>
      </c>
    </row>
    <row r="348" ht="14.25" customHeight="1">
      <c r="A348" s="3" t="s">
        <v>23</v>
      </c>
      <c r="B348" s="3" t="s">
        <v>32</v>
      </c>
      <c r="C348" s="3" t="s">
        <v>46</v>
      </c>
      <c r="D348" s="3" t="s">
        <v>34</v>
      </c>
      <c r="E348" s="3" t="s">
        <v>14</v>
      </c>
      <c r="F348" s="3">
        <v>110.0</v>
      </c>
      <c r="G348" s="4" t="s">
        <v>17</v>
      </c>
      <c r="H348" s="3">
        <v>3.1121058157855415</v>
      </c>
      <c r="K348" s="9" t="str">
        <f>IFERROR(__xludf.DUMMYFUNCTION("""COMPUTED_VALUE"""),"TT Off North")</f>
        <v>TT Off North</v>
      </c>
      <c r="L348" s="9" t="str">
        <f>IFERROR(__xludf.DUMMYFUNCTION("""COMPUTED_VALUE"""),"Farmy")</f>
        <v>Farmy</v>
      </c>
      <c r="M348" s="9" t="str">
        <f>IFERROR(__xludf.DUMMYFUNCTION("""COMPUTED_VALUE"""),"Pro Plus ")</f>
        <v>Pro Plus </v>
      </c>
      <c r="N348" s="9" t="str">
        <f>IFERROR(__xludf.DUMMYFUNCTION("""COMPUTED_VALUE"""),"Vanilla")</f>
        <v>Vanilla</v>
      </c>
      <c r="O348" s="9" t="str">
        <f>IFERROR(__xludf.DUMMYFUNCTION("""COMPUTED_VALUE"""),"Carton")</f>
        <v>Carton</v>
      </c>
      <c r="P348" s="9">
        <f>IFERROR(__xludf.DUMMYFUNCTION("""COMPUTED_VALUE"""),110.0)</f>
        <v>110</v>
      </c>
      <c r="Q348" s="9" t="str">
        <f>IFERROR(__xludf.DUMMYFUNCTION("""COMPUTED_VALUE"""),"Q4'23")</f>
        <v>Q4'23</v>
      </c>
      <c r="R348" s="9">
        <f>IFERROR(__xludf.DUMMYFUNCTION("""COMPUTED_VALUE"""),3.3203202502305116)</f>
        <v>3.32032025</v>
      </c>
    </row>
    <row r="349" ht="14.25" customHeight="1">
      <c r="A349" s="3" t="s">
        <v>23</v>
      </c>
      <c r="B349" s="3" t="s">
        <v>32</v>
      </c>
      <c r="C349" s="3" t="s">
        <v>46</v>
      </c>
      <c r="D349" s="3" t="s">
        <v>34</v>
      </c>
      <c r="E349" s="3" t="s">
        <v>14</v>
      </c>
      <c r="F349" s="3">
        <v>110.0</v>
      </c>
      <c r="G349" s="4" t="s">
        <v>18</v>
      </c>
      <c r="H349" s="3">
        <v>3.3560586503502847</v>
      </c>
      <c r="K349" s="9" t="str">
        <f>IFERROR(__xludf.DUMMYFUNCTION("""COMPUTED_VALUE"""),"TT Off North")</f>
        <v>TT Off North</v>
      </c>
      <c r="L349" s="9" t="str">
        <f>IFERROR(__xludf.DUMMYFUNCTION("""COMPUTED_VALUE"""),"Farmy")</f>
        <v>Farmy</v>
      </c>
      <c r="M349" s="9" t="str">
        <f>IFERROR(__xludf.DUMMYFUNCTION("""COMPUTED_VALUE"""),"Pro Plus ")</f>
        <v>Pro Plus </v>
      </c>
      <c r="N349" s="9" t="str">
        <f>IFERROR(__xludf.DUMMYFUNCTION("""COMPUTED_VALUE"""),"Vanilla")</f>
        <v>Vanilla</v>
      </c>
      <c r="O349" s="9" t="str">
        <f>IFERROR(__xludf.DUMMYFUNCTION("""COMPUTED_VALUE"""),"Carton")</f>
        <v>Carton</v>
      </c>
      <c r="P349" s="9">
        <f>IFERROR(__xludf.DUMMYFUNCTION("""COMPUTED_VALUE"""),180.0)</f>
        <v>180</v>
      </c>
      <c r="Q349" s="9" t="str">
        <f>IFERROR(__xludf.DUMMYFUNCTION("""COMPUTED_VALUE"""),"Q1'22")</f>
        <v>Q1'22</v>
      </c>
      <c r="R349" s="9">
        <f>IFERROR(__xludf.DUMMYFUNCTION("""COMPUTED_VALUE"""),0.2674068925653814)</f>
        <v>0.2674068926</v>
      </c>
    </row>
    <row r="350" ht="14.25" customHeight="1">
      <c r="A350" s="3" t="s">
        <v>23</v>
      </c>
      <c r="B350" s="3" t="s">
        <v>32</v>
      </c>
      <c r="C350" s="3" t="s">
        <v>46</v>
      </c>
      <c r="D350" s="3" t="s">
        <v>34</v>
      </c>
      <c r="E350" s="3" t="s">
        <v>14</v>
      </c>
      <c r="F350" s="3">
        <v>110.0</v>
      </c>
      <c r="G350" s="4" t="s">
        <v>19</v>
      </c>
      <c r="H350" s="3">
        <v>3.20383890595244</v>
      </c>
      <c r="K350" s="9" t="str">
        <f>IFERROR(__xludf.DUMMYFUNCTION("""COMPUTED_VALUE"""),"TT Off North")</f>
        <v>TT Off North</v>
      </c>
      <c r="L350" s="9" t="str">
        <f>IFERROR(__xludf.DUMMYFUNCTION("""COMPUTED_VALUE"""),"Farmy")</f>
        <v>Farmy</v>
      </c>
      <c r="M350" s="9" t="str">
        <f>IFERROR(__xludf.DUMMYFUNCTION("""COMPUTED_VALUE"""),"Pro Plus ")</f>
        <v>Pro Plus </v>
      </c>
      <c r="N350" s="9" t="str">
        <f>IFERROR(__xludf.DUMMYFUNCTION("""COMPUTED_VALUE"""),"Vanilla")</f>
        <v>Vanilla</v>
      </c>
      <c r="O350" s="9" t="str">
        <f>IFERROR(__xludf.DUMMYFUNCTION("""COMPUTED_VALUE"""),"Carton")</f>
        <v>Carton</v>
      </c>
      <c r="P350" s="9">
        <f>IFERROR(__xludf.DUMMYFUNCTION("""COMPUTED_VALUE"""),180.0)</f>
        <v>180</v>
      </c>
      <c r="Q350" s="9" t="str">
        <f>IFERROR(__xludf.DUMMYFUNCTION("""COMPUTED_VALUE"""),"Q2'22")</f>
        <v>Q2'22</v>
      </c>
      <c r="R350" s="9">
        <f>IFERROR(__xludf.DUMMYFUNCTION("""COMPUTED_VALUE"""),0.31412766291498245)</f>
        <v>0.3141276629</v>
      </c>
    </row>
    <row r="351" ht="14.25" customHeight="1">
      <c r="A351" s="3" t="s">
        <v>23</v>
      </c>
      <c r="B351" s="3" t="s">
        <v>32</v>
      </c>
      <c r="C351" s="3" t="s">
        <v>46</v>
      </c>
      <c r="D351" s="3" t="s">
        <v>34</v>
      </c>
      <c r="E351" s="3" t="s">
        <v>14</v>
      </c>
      <c r="F351" s="3">
        <v>110.0</v>
      </c>
      <c r="G351" s="4" t="s">
        <v>20</v>
      </c>
      <c r="H351" s="3">
        <v>3.076064156087011</v>
      </c>
      <c r="K351" s="9" t="str">
        <f>IFERROR(__xludf.DUMMYFUNCTION("""COMPUTED_VALUE"""),"TT Off North")</f>
        <v>TT Off North</v>
      </c>
      <c r="L351" s="9" t="str">
        <f>IFERROR(__xludf.DUMMYFUNCTION("""COMPUTED_VALUE"""),"Farmy")</f>
        <v>Farmy</v>
      </c>
      <c r="M351" s="9" t="str">
        <f>IFERROR(__xludf.DUMMYFUNCTION("""COMPUTED_VALUE"""),"Pro Plus ")</f>
        <v>Pro Plus </v>
      </c>
      <c r="N351" s="9" t="str">
        <f>IFERROR(__xludf.DUMMYFUNCTION("""COMPUTED_VALUE"""),"Vanilla")</f>
        <v>Vanilla</v>
      </c>
      <c r="O351" s="9" t="str">
        <f>IFERROR(__xludf.DUMMYFUNCTION("""COMPUTED_VALUE"""),"Carton")</f>
        <v>Carton</v>
      </c>
      <c r="P351" s="9">
        <f>IFERROR(__xludf.DUMMYFUNCTION("""COMPUTED_VALUE"""),180.0)</f>
        <v>180</v>
      </c>
      <c r="Q351" s="9" t="str">
        <f>IFERROR(__xludf.DUMMYFUNCTION("""COMPUTED_VALUE"""),"Q3'22")</f>
        <v>Q3'22</v>
      </c>
      <c r="R351" s="9">
        <f>IFERROR(__xludf.DUMMYFUNCTION("""COMPUTED_VALUE"""),0.4163895687928474)</f>
        <v>0.4163895688</v>
      </c>
    </row>
    <row r="352" ht="14.25" customHeight="1">
      <c r="A352" s="3" t="s">
        <v>23</v>
      </c>
      <c r="B352" s="3" t="s">
        <v>32</v>
      </c>
      <c r="C352" s="3" t="s">
        <v>46</v>
      </c>
      <c r="D352" s="3" t="s">
        <v>34</v>
      </c>
      <c r="E352" s="3" t="s">
        <v>14</v>
      </c>
      <c r="F352" s="3">
        <v>110.0</v>
      </c>
      <c r="G352" s="4" t="s">
        <v>21</v>
      </c>
      <c r="H352" s="3">
        <v>3.0780903527086227</v>
      </c>
      <c r="K352" s="9" t="str">
        <f>IFERROR(__xludf.DUMMYFUNCTION("""COMPUTED_VALUE"""),"TT Off North")</f>
        <v>TT Off North</v>
      </c>
      <c r="L352" s="9" t="str">
        <f>IFERROR(__xludf.DUMMYFUNCTION("""COMPUTED_VALUE"""),"Farmy")</f>
        <v>Farmy</v>
      </c>
      <c r="M352" s="9" t="str">
        <f>IFERROR(__xludf.DUMMYFUNCTION("""COMPUTED_VALUE"""),"Pro Plus ")</f>
        <v>Pro Plus </v>
      </c>
      <c r="N352" s="9" t="str">
        <f>IFERROR(__xludf.DUMMYFUNCTION("""COMPUTED_VALUE"""),"Vanilla")</f>
        <v>Vanilla</v>
      </c>
      <c r="O352" s="9" t="str">
        <f>IFERROR(__xludf.DUMMYFUNCTION("""COMPUTED_VALUE"""),"Carton")</f>
        <v>Carton</v>
      </c>
      <c r="P352" s="9">
        <f>IFERROR(__xludf.DUMMYFUNCTION("""COMPUTED_VALUE"""),180.0)</f>
        <v>180</v>
      </c>
      <c r="Q352" s="9" t="str">
        <f>IFERROR(__xludf.DUMMYFUNCTION("""COMPUTED_VALUE"""),"Q4'22")</f>
        <v>Q4'22</v>
      </c>
      <c r="R352" s="9">
        <f>IFERROR(__xludf.DUMMYFUNCTION("""COMPUTED_VALUE"""),0.22764093521046186)</f>
        <v>0.2276409352</v>
      </c>
    </row>
    <row r="353" ht="14.25" customHeight="1">
      <c r="A353" s="3" t="s">
        <v>23</v>
      </c>
      <c r="B353" s="3" t="s">
        <v>32</v>
      </c>
      <c r="C353" s="3" t="s">
        <v>46</v>
      </c>
      <c r="D353" s="3" t="s">
        <v>34</v>
      </c>
      <c r="E353" s="3" t="s">
        <v>14</v>
      </c>
      <c r="F353" s="3">
        <v>110.0</v>
      </c>
      <c r="G353" s="4" t="s">
        <v>22</v>
      </c>
      <c r="H353" s="3">
        <v>2.953350603120626</v>
      </c>
      <c r="K353" s="9" t="str">
        <f>IFERROR(__xludf.DUMMYFUNCTION("""COMPUTED_VALUE"""),"TT Off North")</f>
        <v>TT Off North</v>
      </c>
      <c r="L353" s="9" t="str">
        <f>IFERROR(__xludf.DUMMYFUNCTION("""COMPUTED_VALUE"""),"Farmy")</f>
        <v>Farmy</v>
      </c>
      <c r="M353" s="9" t="str">
        <f>IFERROR(__xludf.DUMMYFUNCTION("""COMPUTED_VALUE"""),"Pro Plus ")</f>
        <v>Pro Plus </v>
      </c>
      <c r="N353" s="9" t="str">
        <f>IFERROR(__xludf.DUMMYFUNCTION("""COMPUTED_VALUE"""),"Vanilla")</f>
        <v>Vanilla</v>
      </c>
      <c r="O353" s="9" t="str">
        <f>IFERROR(__xludf.DUMMYFUNCTION("""COMPUTED_VALUE"""),"Carton")</f>
        <v>Carton</v>
      </c>
      <c r="P353" s="9">
        <f>IFERROR(__xludf.DUMMYFUNCTION("""COMPUTED_VALUE"""),180.0)</f>
        <v>180</v>
      </c>
      <c r="Q353" s="9" t="str">
        <f>IFERROR(__xludf.DUMMYFUNCTION("""COMPUTED_VALUE"""),"Q1'23")</f>
        <v>Q1'23</v>
      </c>
      <c r="R353" s="9">
        <f>IFERROR(__xludf.DUMMYFUNCTION("""COMPUTED_VALUE"""),0.25984318465099365)</f>
        <v>0.2598431847</v>
      </c>
    </row>
    <row r="354" ht="14.25" customHeight="1">
      <c r="A354" s="3" t="s">
        <v>23</v>
      </c>
      <c r="B354" s="3" t="s">
        <v>32</v>
      </c>
      <c r="C354" s="3" t="s">
        <v>46</v>
      </c>
      <c r="D354" s="3" t="s">
        <v>34</v>
      </c>
      <c r="E354" s="3" t="s">
        <v>14</v>
      </c>
      <c r="F354" s="3">
        <v>180.0</v>
      </c>
      <c r="G354" s="4" t="s">
        <v>15</v>
      </c>
      <c r="H354" s="3">
        <v>2.6842660681915786</v>
      </c>
      <c r="K354" s="9" t="str">
        <f>IFERROR(__xludf.DUMMYFUNCTION("""COMPUTED_VALUE"""),"TT Off North")</f>
        <v>TT Off North</v>
      </c>
      <c r="L354" s="9" t="str">
        <f>IFERROR(__xludf.DUMMYFUNCTION("""COMPUTED_VALUE"""),"Farmy")</f>
        <v>Farmy</v>
      </c>
      <c r="M354" s="9" t="str">
        <f>IFERROR(__xludf.DUMMYFUNCTION("""COMPUTED_VALUE"""),"Pro Plus ")</f>
        <v>Pro Plus </v>
      </c>
      <c r="N354" s="9" t="str">
        <f>IFERROR(__xludf.DUMMYFUNCTION("""COMPUTED_VALUE"""),"Vanilla")</f>
        <v>Vanilla</v>
      </c>
      <c r="O354" s="9" t="str">
        <f>IFERROR(__xludf.DUMMYFUNCTION("""COMPUTED_VALUE"""),"Carton")</f>
        <v>Carton</v>
      </c>
      <c r="P354" s="9">
        <f>IFERROR(__xludf.DUMMYFUNCTION("""COMPUTED_VALUE"""),180.0)</f>
        <v>180</v>
      </c>
      <c r="Q354" s="9" t="str">
        <f>IFERROR(__xludf.DUMMYFUNCTION("""COMPUTED_VALUE"""),"Q2'23")</f>
        <v>Q2'23</v>
      </c>
      <c r="R354" s="9">
        <f>IFERROR(__xludf.DUMMYFUNCTION("""COMPUTED_VALUE"""),0.2540135345222162)</f>
        <v>0.2540135345</v>
      </c>
    </row>
    <row r="355" ht="14.25" customHeight="1">
      <c r="A355" s="3" t="s">
        <v>23</v>
      </c>
      <c r="B355" s="3" t="s">
        <v>32</v>
      </c>
      <c r="C355" s="3" t="s">
        <v>46</v>
      </c>
      <c r="D355" s="3" t="s">
        <v>34</v>
      </c>
      <c r="E355" s="3" t="s">
        <v>14</v>
      </c>
      <c r="F355" s="3">
        <v>180.0</v>
      </c>
      <c r="G355" s="4" t="s">
        <v>16</v>
      </c>
      <c r="H355" s="3">
        <v>2.6750712592008172</v>
      </c>
      <c r="K355" s="9" t="str">
        <f>IFERROR(__xludf.DUMMYFUNCTION("""COMPUTED_VALUE"""),"TT Off North")</f>
        <v>TT Off North</v>
      </c>
      <c r="L355" s="9" t="str">
        <f>IFERROR(__xludf.DUMMYFUNCTION("""COMPUTED_VALUE"""),"Farmy")</f>
        <v>Farmy</v>
      </c>
      <c r="M355" s="9" t="str">
        <f>IFERROR(__xludf.DUMMYFUNCTION("""COMPUTED_VALUE"""),"Pro Plus ")</f>
        <v>Pro Plus </v>
      </c>
      <c r="N355" s="9" t="str">
        <f>IFERROR(__xludf.DUMMYFUNCTION("""COMPUTED_VALUE"""),"Vanilla")</f>
        <v>Vanilla</v>
      </c>
      <c r="O355" s="9" t="str">
        <f>IFERROR(__xludf.DUMMYFUNCTION("""COMPUTED_VALUE"""),"Carton")</f>
        <v>Carton</v>
      </c>
      <c r="P355" s="9">
        <f>IFERROR(__xludf.DUMMYFUNCTION("""COMPUTED_VALUE"""),180.0)</f>
        <v>180</v>
      </c>
      <c r="Q355" s="9" t="str">
        <f>IFERROR(__xludf.DUMMYFUNCTION("""COMPUTED_VALUE"""),"Q3'23")</f>
        <v>Q3'23</v>
      </c>
      <c r="R355" s="9">
        <f>IFERROR(__xludf.DUMMYFUNCTION("""COMPUTED_VALUE"""),0.14473171887865285)</f>
        <v>0.1447317189</v>
      </c>
    </row>
    <row r="356" ht="14.25" customHeight="1">
      <c r="A356" s="3" t="s">
        <v>23</v>
      </c>
      <c r="B356" s="3" t="s">
        <v>32</v>
      </c>
      <c r="C356" s="3" t="s">
        <v>46</v>
      </c>
      <c r="D356" s="3" t="s">
        <v>34</v>
      </c>
      <c r="E356" s="3" t="s">
        <v>14</v>
      </c>
      <c r="F356" s="3">
        <v>180.0</v>
      </c>
      <c r="G356" s="4" t="s">
        <v>17</v>
      </c>
      <c r="H356" s="3">
        <v>2.649483161954249</v>
      </c>
      <c r="K356" s="9" t="str">
        <f>IFERROR(__xludf.DUMMYFUNCTION("""COMPUTED_VALUE"""),"TT Off North")</f>
        <v>TT Off North</v>
      </c>
      <c r="L356" s="9" t="str">
        <f>IFERROR(__xludf.DUMMYFUNCTION("""COMPUTED_VALUE"""),"Farmy")</f>
        <v>Farmy</v>
      </c>
      <c r="M356" s="9" t="str">
        <f>IFERROR(__xludf.DUMMYFUNCTION("""COMPUTED_VALUE"""),"Pro Plus ")</f>
        <v>Pro Plus </v>
      </c>
      <c r="N356" s="9" t="str">
        <f>IFERROR(__xludf.DUMMYFUNCTION("""COMPUTED_VALUE"""),"Vanilla")</f>
        <v>Vanilla</v>
      </c>
      <c r="O356" s="9" t="str">
        <f>IFERROR(__xludf.DUMMYFUNCTION("""COMPUTED_VALUE"""),"Carton")</f>
        <v>Carton</v>
      </c>
      <c r="P356" s="9">
        <f>IFERROR(__xludf.DUMMYFUNCTION("""COMPUTED_VALUE"""),180.0)</f>
        <v>180</v>
      </c>
      <c r="Q356" s="9" t="str">
        <f>IFERROR(__xludf.DUMMYFUNCTION("""COMPUTED_VALUE"""),"Q4'23")</f>
        <v>Q4'23</v>
      </c>
      <c r="R356" s="9">
        <f>IFERROR(__xludf.DUMMYFUNCTION("""COMPUTED_VALUE"""),0.1681410257407932)</f>
        <v>0.1681410257</v>
      </c>
    </row>
    <row r="357" ht="14.25" customHeight="1">
      <c r="A357" s="3" t="s">
        <v>23</v>
      </c>
      <c r="B357" s="3" t="s">
        <v>32</v>
      </c>
      <c r="C357" s="3" t="s">
        <v>46</v>
      </c>
      <c r="D357" s="3" t="s">
        <v>34</v>
      </c>
      <c r="E357" s="3" t="s">
        <v>14</v>
      </c>
      <c r="F357" s="3">
        <v>180.0</v>
      </c>
      <c r="G357" s="4" t="s">
        <v>18</v>
      </c>
      <c r="H357" s="3">
        <v>2.6313432307705757</v>
      </c>
      <c r="K357" s="9" t="str">
        <f>IFERROR(__xludf.DUMMYFUNCTION("""COMPUTED_VALUE"""),"TT Off North")</f>
        <v>TT Off North</v>
      </c>
      <c r="L357" s="9" t="str">
        <f>IFERROR(__xludf.DUMMYFUNCTION("""COMPUTED_VALUE"""),"Farmy")</f>
        <v>Farmy</v>
      </c>
      <c r="M357" s="9" t="str">
        <f>IFERROR(__xludf.DUMMYFUNCTION("""COMPUTED_VALUE"""),"Pro 100% Fresh")</f>
        <v>Pro 100% Fresh</v>
      </c>
      <c r="N357" s="9" t="str">
        <f>IFERROR(__xludf.DUMMYFUNCTION("""COMPUTED_VALUE"""),"Plain")</f>
        <v>Plain</v>
      </c>
      <c r="O357" s="9" t="str">
        <f>IFERROR(__xludf.DUMMYFUNCTION("""COMPUTED_VALUE"""),"TFA")</f>
        <v>TFA</v>
      </c>
      <c r="P357" s="9">
        <f>IFERROR(__xludf.DUMMYFUNCTION("""COMPUTED_VALUE"""),220.0)</f>
        <v>220</v>
      </c>
      <c r="Q357" s="9" t="str">
        <f>IFERROR(__xludf.DUMMYFUNCTION("""COMPUTED_VALUE"""),"Q1'22")</f>
        <v>Q1'22</v>
      </c>
      <c r="R357" s="9">
        <f>IFERROR(__xludf.DUMMYFUNCTION("""COMPUTED_VALUE"""),0.08711739168650147)</f>
        <v>0.08711739169</v>
      </c>
    </row>
    <row r="358" ht="14.25" customHeight="1">
      <c r="A358" s="3" t="s">
        <v>23</v>
      </c>
      <c r="B358" s="3" t="s">
        <v>32</v>
      </c>
      <c r="C358" s="3" t="s">
        <v>46</v>
      </c>
      <c r="D358" s="3" t="s">
        <v>34</v>
      </c>
      <c r="E358" s="3" t="s">
        <v>14</v>
      </c>
      <c r="F358" s="3">
        <v>180.0</v>
      </c>
      <c r="G358" s="4" t="s">
        <v>19</v>
      </c>
      <c r="H358" s="3">
        <v>2.809579873012402</v>
      </c>
      <c r="K358" s="9" t="str">
        <f>IFERROR(__xludf.DUMMYFUNCTION("""COMPUTED_VALUE"""),"TT Off North")</f>
        <v>TT Off North</v>
      </c>
      <c r="L358" s="9" t="str">
        <f>IFERROR(__xludf.DUMMYFUNCTION("""COMPUTED_VALUE"""),"Farmy")</f>
        <v>Farmy</v>
      </c>
      <c r="M358" s="9" t="str">
        <f>IFERROR(__xludf.DUMMYFUNCTION("""COMPUTED_VALUE"""),"Pro 100% Fresh")</f>
        <v>Pro 100% Fresh</v>
      </c>
      <c r="N358" s="9" t="str">
        <f>IFERROR(__xludf.DUMMYFUNCTION("""COMPUTED_VALUE"""),"Plain")</f>
        <v>Plain</v>
      </c>
      <c r="O358" s="9" t="str">
        <f>IFERROR(__xludf.DUMMYFUNCTION("""COMPUTED_VALUE"""),"TFA")</f>
        <v>TFA</v>
      </c>
      <c r="P358" s="9">
        <f>IFERROR(__xludf.DUMMYFUNCTION("""COMPUTED_VALUE"""),220.0)</f>
        <v>220</v>
      </c>
      <c r="Q358" s="9" t="str">
        <f>IFERROR(__xludf.DUMMYFUNCTION("""COMPUTED_VALUE"""),"Q2'22")</f>
        <v>Q2'22</v>
      </c>
      <c r="R358" s="9">
        <f>IFERROR(__xludf.DUMMYFUNCTION("""COMPUTED_VALUE"""),0.05969364839650745)</f>
        <v>0.0596936484</v>
      </c>
    </row>
    <row r="359" ht="14.25" customHeight="1">
      <c r="A359" s="3" t="s">
        <v>23</v>
      </c>
      <c r="B359" s="3" t="s">
        <v>32</v>
      </c>
      <c r="C359" s="3" t="s">
        <v>46</v>
      </c>
      <c r="D359" s="3" t="s">
        <v>34</v>
      </c>
      <c r="E359" s="3" t="s">
        <v>14</v>
      </c>
      <c r="F359" s="3">
        <v>180.0</v>
      </c>
      <c r="G359" s="4" t="s">
        <v>20</v>
      </c>
      <c r="H359" s="3">
        <v>2.8786380414293653</v>
      </c>
      <c r="K359" s="9" t="str">
        <f>IFERROR(__xludf.DUMMYFUNCTION("""COMPUTED_VALUE"""),"TT Off North")</f>
        <v>TT Off North</v>
      </c>
      <c r="L359" s="9" t="str">
        <f>IFERROR(__xludf.DUMMYFUNCTION("""COMPUTED_VALUE"""),"Farmy")</f>
        <v>Farmy</v>
      </c>
      <c r="M359" s="9" t="str">
        <f>IFERROR(__xludf.DUMMYFUNCTION("""COMPUTED_VALUE"""),"Pro 100% Fresh")</f>
        <v>Pro 100% Fresh</v>
      </c>
      <c r="N359" s="9" t="str">
        <f>IFERROR(__xludf.DUMMYFUNCTION("""COMPUTED_VALUE"""),"Plain")</f>
        <v>Plain</v>
      </c>
      <c r="O359" s="9" t="str">
        <f>IFERROR(__xludf.DUMMYFUNCTION("""COMPUTED_VALUE"""),"TFA")</f>
        <v>TFA</v>
      </c>
      <c r="P359" s="9">
        <f>IFERROR(__xludf.DUMMYFUNCTION("""COMPUTED_VALUE"""),220.0)</f>
        <v>220</v>
      </c>
      <c r="Q359" s="9" t="str">
        <f>IFERROR(__xludf.DUMMYFUNCTION("""COMPUTED_VALUE"""),"Q3'22")</f>
        <v>Q3'22</v>
      </c>
      <c r="R359" s="9">
        <f>IFERROR(__xludf.DUMMYFUNCTION("""COMPUTED_VALUE"""),0.06123194371117571)</f>
        <v>0.06123194371</v>
      </c>
    </row>
    <row r="360" ht="14.25" customHeight="1">
      <c r="A360" s="3" t="s">
        <v>23</v>
      </c>
      <c r="B360" s="3" t="s">
        <v>32</v>
      </c>
      <c r="C360" s="3" t="s">
        <v>46</v>
      </c>
      <c r="D360" s="3" t="s">
        <v>34</v>
      </c>
      <c r="E360" s="3" t="s">
        <v>14</v>
      </c>
      <c r="F360" s="3">
        <v>180.0</v>
      </c>
      <c r="G360" s="4" t="s">
        <v>21</v>
      </c>
      <c r="H360" s="3">
        <v>2.8584953558374777</v>
      </c>
      <c r="K360" s="9" t="str">
        <f>IFERROR(__xludf.DUMMYFUNCTION("""COMPUTED_VALUE"""),"TT Off North")</f>
        <v>TT Off North</v>
      </c>
      <c r="L360" s="9" t="str">
        <f>IFERROR(__xludf.DUMMYFUNCTION("""COMPUTED_VALUE"""),"Farmy")</f>
        <v>Farmy</v>
      </c>
      <c r="M360" s="9" t="str">
        <f>IFERROR(__xludf.DUMMYFUNCTION("""COMPUTED_VALUE"""),"Pro 100% Fresh")</f>
        <v>Pro 100% Fresh</v>
      </c>
      <c r="N360" s="9" t="str">
        <f>IFERROR(__xludf.DUMMYFUNCTION("""COMPUTED_VALUE"""),"Plain")</f>
        <v>Plain</v>
      </c>
      <c r="O360" s="9" t="str">
        <f>IFERROR(__xludf.DUMMYFUNCTION("""COMPUTED_VALUE"""),"TFA")</f>
        <v>TFA</v>
      </c>
      <c r="P360" s="9">
        <f>IFERROR(__xludf.DUMMYFUNCTION("""COMPUTED_VALUE"""),220.0)</f>
        <v>220</v>
      </c>
      <c r="Q360" s="9" t="str">
        <f>IFERROR(__xludf.DUMMYFUNCTION("""COMPUTED_VALUE"""),"Q4'22")</f>
        <v>Q4'22</v>
      </c>
      <c r="R360" s="9">
        <f>IFERROR(__xludf.DUMMYFUNCTION("""COMPUTED_VALUE"""),0.08848554397037589)</f>
        <v>0.08848554397</v>
      </c>
    </row>
    <row r="361" ht="14.25" customHeight="1">
      <c r="A361" s="3" t="s">
        <v>23</v>
      </c>
      <c r="B361" s="3" t="s">
        <v>32</v>
      </c>
      <c r="C361" s="3" t="s">
        <v>46</v>
      </c>
      <c r="D361" s="3" t="s">
        <v>34</v>
      </c>
      <c r="E361" s="3" t="s">
        <v>14</v>
      </c>
      <c r="F361" s="3">
        <v>180.0</v>
      </c>
      <c r="G361" s="4" t="s">
        <v>22</v>
      </c>
      <c r="H361" s="3">
        <v>2.429670845510248</v>
      </c>
      <c r="K361" s="9" t="str">
        <f>IFERROR(__xludf.DUMMYFUNCTION("""COMPUTED_VALUE"""),"TT Off North")</f>
        <v>TT Off North</v>
      </c>
      <c r="L361" s="9" t="str">
        <f>IFERROR(__xludf.DUMMYFUNCTION("""COMPUTED_VALUE"""),"Farmy")</f>
        <v>Farmy</v>
      </c>
      <c r="M361" s="9" t="str">
        <f>IFERROR(__xludf.DUMMYFUNCTION("""COMPUTED_VALUE"""),"Pro 100% Fresh")</f>
        <v>Pro 100% Fresh</v>
      </c>
      <c r="N361" s="9" t="str">
        <f>IFERROR(__xludf.DUMMYFUNCTION("""COMPUTED_VALUE"""),"Plain")</f>
        <v>Plain</v>
      </c>
      <c r="O361" s="9" t="str">
        <f>IFERROR(__xludf.DUMMYFUNCTION("""COMPUTED_VALUE"""),"TFA")</f>
        <v>TFA</v>
      </c>
      <c r="P361" s="9">
        <f>IFERROR(__xludf.DUMMYFUNCTION("""COMPUTED_VALUE"""),220.0)</f>
        <v>220</v>
      </c>
      <c r="Q361" s="9" t="str">
        <f>IFERROR(__xludf.DUMMYFUNCTION("""COMPUTED_VALUE"""),"Q1'23")</f>
        <v>Q1'23</v>
      </c>
      <c r="R361" s="9">
        <f>IFERROR(__xludf.DUMMYFUNCTION("""COMPUTED_VALUE"""),0.031883518597100334)</f>
        <v>0.0318835186</v>
      </c>
    </row>
    <row r="362" ht="14.25" customHeight="1">
      <c r="A362" s="3" t="s">
        <v>23</v>
      </c>
      <c r="B362" s="3" t="s">
        <v>32</v>
      </c>
      <c r="C362" s="3" t="s">
        <v>35</v>
      </c>
      <c r="D362" s="3" t="s">
        <v>30</v>
      </c>
      <c r="E362" s="3" t="s">
        <v>29</v>
      </c>
      <c r="F362" s="3">
        <v>220.0</v>
      </c>
      <c r="G362" s="4" t="s">
        <v>15</v>
      </c>
      <c r="H362" s="3">
        <v>1.7539477685309033</v>
      </c>
      <c r="K362" s="9" t="str">
        <f>IFERROR(__xludf.DUMMYFUNCTION("""COMPUTED_VALUE"""),"TT Off North")</f>
        <v>TT Off North</v>
      </c>
      <c r="L362" s="9" t="str">
        <f>IFERROR(__xludf.DUMMYFUNCTION("""COMPUTED_VALUE"""),"Farmy")</f>
        <v>Farmy</v>
      </c>
      <c r="M362" s="9" t="str">
        <f>IFERROR(__xludf.DUMMYFUNCTION("""COMPUTED_VALUE"""),"Pro 100% Fresh")</f>
        <v>Pro 100% Fresh</v>
      </c>
      <c r="N362" s="9" t="str">
        <f>IFERROR(__xludf.DUMMYFUNCTION("""COMPUTED_VALUE"""),"Plain")</f>
        <v>Plain</v>
      </c>
      <c r="O362" s="9" t="str">
        <f>IFERROR(__xludf.DUMMYFUNCTION("""COMPUTED_VALUE"""),"TFA")</f>
        <v>TFA</v>
      </c>
      <c r="P362" s="9">
        <f>IFERROR(__xludf.DUMMYFUNCTION("""COMPUTED_VALUE"""),220.0)</f>
        <v>220</v>
      </c>
      <c r="Q362" s="9" t="str">
        <f>IFERROR(__xludf.DUMMYFUNCTION("""COMPUTED_VALUE"""),"Q2'23")</f>
        <v>Q2'23</v>
      </c>
      <c r="R362" s="9">
        <f>IFERROR(__xludf.DUMMYFUNCTION("""COMPUTED_VALUE"""),0.025621392705111337)</f>
        <v>0.02562139271</v>
      </c>
    </row>
    <row r="363" ht="14.25" customHeight="1">
      <c r="A363" s="3" t="s">
        <v>23</v>
      </c>
      <c r="B363" s="3" t="s">
        <v>32</v>
      </c>
      <c r="C363" s="3" t="s">
        <v>35</v>
      </c>
      <c r="D363" s="3" t="s">
        <v>30</v>
      </c>
      <c r="E363" s="3" t="s">
        <v>29</v>
      </c>
      <c r="F363" s="3">
        <v>220.0</v>
      </c>
      <c r="G363" s="4" t="s">
        <v>16</v>
      </c>
      <c r="H363" s="3">
        <v>1.5916266116101796</v>
      </c>
      <c r="K363" s="9" t="str">
        <f>IFERROR(__xludf.DUMMYFUNCTION("""COMPUTED_VALUE"""),"TT Off North")</f>
        <v>TT Off North</v>
      </c>
      <c r="L363" s="9" t="str">
        <f>IFERROR(__xludf.DUMMYFUNCTION("""COMPUTED_VALUE"""),"Farmy")</f>
        <v>Farmy</v>
      </c>
      <c r="M363" s="9" t="str">
        <f>IFERROR(__xludf.DUMMYFUNCTION("""COMPUTED_VALUE"""),"Pro 100% Fresh")</f>
        <v>Pro 100% Fresh</v>
      </c>
      <c r="N363" s="9" t="str">
        <f>IFERROR(__xludf.DUMMYFUNCTION("""COMPUTED_VALUE"""),"Plain")</f>
        <v>Plain</v>
      </c>
      <c r="O363" s="9" t="str">
        <f>IFERROR(__xludf.DUMMYFUNCTION("""COMPUTED_VALUE"""),"TFA")</f>
        <v>TFA</v>
      </c>
      <c r="P363" s="9">
        <f>IFERROR(__xludf.DUMMYFUNCTION("""COMPUTED_VALUE"""),220.0)</f>
        <v>220</v>
      </c>
      <c r="Q363" s="9" t="str">
        <f>IFERROR(__xludf.DUMMYFUNCTION("""COMPUTED_VALUE"""),"Q3'23")</f>
        <v>Q3'23</v>
      </c>
      <c r="R363" s="9">
        <f>IFERROR(__xludf.DUMMYFUNCTION("""COMPUTED_VALUE"""),0.027273794155852907)</f>
        <v>0.02727379416</v>
      </c>
    </row>
    <row r="364" ht="14.25" customHeight="1">
      <c r="A364" s="3" t="s">
        <v>23</v>
      </c>
      <c r="B364" s="3" t="s">
        <v>32</v>
      </c>
      <c r="C364" s="3" t="s">
        <v>35</v>
      </c>
      <c r="D364" s="3" t="s">
        <v>30</v>
      </c>
      <c r="E364" s="3" t="s">
        <v>29</v>
      </c>
      <c r="F364" s="3">
        <v>220.0</v>
      </c>
      <c r="G364" s="4" t="s">
        <v>17</v>
      </c>
      <c r="H364" s="3">
        <v>1.8719747173474564</v>
      </c>
      <c r="K364" s="9" t="str">
        <f>IFERROR(__xludf.DUMMYFUNCTION("""COMPUTED_VALUE"""),"TT Off North")</f>
        <v>TT Off North</v>
      </c>
      <c r="L364" s="9" t="str">
        <f>IFERROR(__xludf.DUMMYFUNCTION("""COMPUTED_VALUE"""),"Farmy")</f>
        <v>Farmy</v>
      </c>
      <c r="M364" s="9" t="str">
        <f>IFERROR(__xludf.DUMMYFUNCTION("""COMPUTED_VALUE"""),"Pro 100% Fresh")</f>
        <v>Pro 100% Fresh</v>
      </c>
      <c r="N364" s="9" t="str">
        <f>IFERROR(__xludf.DUMMYFUNCTION("""COMPUTED_VALUE"""),"Plain")</f>
        <v>Plain</v>
      </c>
      <c r="O364" s="9" t="str">
        <f>IFERROR(__xludf.DUMMYFUNCTION("""COMPUTED_VALUE"""),"TFA")</f>
        <v>TFA</v>
      </c>
      <c r="P364" s="9">
        <f>IFERROR(__xludf.DUMMYFUNCTION("""COMPUTED_VALUE"""),220.0)</f>
        <v>220</v>
      </c>
      <c r="Q364" s="9" t="str">
        <f>IFERROR(__xludf.DUMMYFUNCTION("""COMPUTED_VALUE"""),"Q4'23")</f>
        <v>Q4'23</v>
      </c>
      <c r="R364" s="9">
        <f>IFERROR(__xludf.DUMMYFUNCTION("""COMPUTED_VALUE"""),0.04719631449938813)</f>
        <v>0.0471963145</v>
      </c>
    </row>
    <row r="365" ht="14.25" customHeight="1">
      <c r="A365" s="3" t="s">
        <v>23</v>
      </c>
      <c r="B365" s="3" t="s">
        <v>32</v>
      </c>
      <c r="C365" s="3" t="s">
        <v>35</v>
      </c>
      <c r="D365" s="3" t="s">
        <v>30</v>
      </c>
      <c r="E365" s="3" t="s">
        <v>29</v>
      </c>
      <c r="F365" s="3">
        <v>220.0</v>
      </c>
      <c r="G365" s="4" t="s">
        <v>18</v>
      </c>
      <c r="H365" s="3">
        <v>1.8638363218643261</v>
      </c>
      <c r="K365" s="9" t="str">
        <f>IFERROR(__xludf.DUMMYFUNCTION("""COMPUTED_VALUE"""),"TT Off North")</f>
        <v>TT Off North</v>
      </c>
      <c r="L365" s="9" t="str">
        <f>IFERROR(__xludf.DUMMYFUNCTION("""COMPUTED_VALUE"""),"Wonderland")</f>
        <v>Wonderland</v>
      </c>
      <c r="M365" s="9" t="str">
        <f>IFERROR(__xludf.DUMMYFUNCTION("""COMPUTED_VALUE"""),"Mina Organic")</f>
        <v>Mina Organic</v>
      </c>
      <c r="N365" s="9" t="str">
        <f>IFERROR(__xludf.DUMMYFUNCTION("""COMPUTED_VALUE"""),"Less Sugar")</f>
        <v>Less Sugar</v>
      </c>
      <c r="O365" s="9" t="str">
        <f>IFERROR(__xludf.DUMMYFUNCTION("""COMPUTED_VALUE"""),"PLBT")</f>
        <v>PLBT</v>
      </c>
      <c r="P365" s="9">
        <f>IFERROR(__xludf.DUMMYFUNCTION("""COMPUTED_VALUE"""),237.0)</f>
        <v>237</v>
      </c>
      <c r="Q365" s="9" t="str">
        <f>IFERROR(__xludf.DUMMYFUNCTION("""COMPUTED_VALUE"""),"Q1'22")</f>
        <v>Q1'22</v>
      </c>
      <c r="R365" s="9">
        <f>IFERROR(__xludf.DUMMYFUNCTION("""COMPUTED_VALUE"""),0.3309778401443381)</f>
        <v>0.3309778401</v>
      </c>
    </row>
    <row r="366" ht="14.25" customHeight="1">
      <c r="A366" s="3" t="s">
        <v>23</v>
      </c>
      <c r="B366" s="3" t="s">
        <v>32</v>
      </c>
      <c r="C366" s="3" t="s">
        <v>35</v>
      </c>
      <c r="D366" s="3" t="s">
        <v>30</v>
      </c>
      <c r="E366" s="3" t="s">
        <v>29</v>
      </c>
      <c r="F366" s="3">
        <v>220.0</v>
      </c>
      <c r="G366" s="4" t="s">
        <v>19</v>
      </c>
      <c r="H366" s="3">
        <v>2.2640443759648567</v>
      </c>
      <c r="K366" s="9" t="str">
        <f>IFERROR(__xludf.DUMMYFUNCTION("""COMPUTED_VALUE"""),"TT Off North")</f>
        <v>TT Off North</v>
      </c>
      <c r="L366" s="9" t="str">
        <f>IFERROR(__xludf.DUMMYFUNCTION("""COMPUTED_VALUE"""),"Wonderland")</f>
        <v>Wonderland</v>
      </c>
      <c r="M366" s="9" t="str">
        <f>IFERROR(__xludf.DUMMYFUNCTION("""COMPUTED_VALUE"""),"Mina Organic")</f>
        <v>Mina Organic</v>
      </c>
      <c r="N366" s="9" t="str">
        <f>IFERROR(__xludf.DUMMYFUNCTION("""COMPUTED_VALUE"""),"Less Sugar")</f>
        <v>Less Sugar</v>
      </c>
      <c r="O366" s="9" t="str">
        <f>IFERROR(__xludf.DUMMYFUNCTION("""COMPUTED_VALUE"""),"PLBT")</f>
        <v>PLBT</v>
      </c>
      <c r="P366" s="9">
        <f>IFERROR(__xludf.DUMMYFUNCTION("""COMPUTED_VALUE"""),237.0)</f>
        <v>237</v>
      </c>
      <c r="Q366" s="9" t="str">
        <f>IFERROR(__xludf.DUMMYFUNCTION("""COMPUTED_VALUE"""),"Q2'22")</f>
        <v>Q2'22</v>
      </c>
      <c r="R366" s="9">
        <f>IFERROR(__xludf.DUMMYFUNCTION("""COMPUTED_VALUE"""),0.37266011755029865)</f>
        <v>0.3726601176</v>
      </c>
    </row>
    <row r="367" ht="14.25" customHeight="1">
      <c r="A367" s="3" t="s">
        <v>23</v>
      </c>
      <c r="B367" s="3" t="s">
        <v>32</v>
      </c>
      <c r="C367" s="3" t="s">
        <v>35</v>
      </c>
      <c r="D367" s="3" t="s">
        <v>30</v>
      </c>
      <c r="E367" s="3" t="s">
        <v>29</v>
      </c>
      <c r="F367" s="3">
        <v>220.0</v>
      </c>
      <c r="G367" s="4" t="s">
        <v>20</v>
      </c>
      <c r="H367" s="3">
        <v>2.3478114581810043</v>
      </c>
      <c r="K367" s="9" t="str">
        <f>IFERROR(__xludf.DUMMYFUNCTION("""COMPUTED_VALUE"""),"TT Off North")</f>
        <v>TT Off North</v>
      </c>
      <c r="L367" s="9" t="str">
        <f>IFERROR(__xludf.DUMMYFUNCTION("""COMPUTED_VALUE"""),"Wonderland")</f>
        <v>Wonderland</v>
      </c>
      <c r="M367" s="9" t="str">
        <f>IFERROR(__xludf.DUMMYFUNCTION("""COMPUTED_VALUE"""),"Mina Organic")</f>
        <v>Mina Organic</v>
      </c>
      <c r="N367" s="9" t="str">
        <f>IFERROR(__xludf.DUMMYFUNCTION("""COMPUTED_VALUE"""),"Less Sugar")</f>
        <v>Less Sugar</v>
      </c>
      <c r="O367" s="9" t="str">
        <f>IFERROR(__xludf.DUMMYFUNCTION("""COMPUTED_VALUE"""),"PLBT")</f>
        <v>PLBT</v>
      </c>
      <c r="P367" s="9">
        <f>IFERROR(__xludf.DUMMYFUNCTION("""COMPUTED_VALUE"""),237.0)</f>
        <v>237</v>
      </c>
      <c r="Q367" s="9" t="str">
        <f>IFERROR(__xludf.DUMMYFUNCTION("""COMPUTED_VALUE"""),"Q3'22")</f>
        <v>Q3'22</v>
      </c>
      <c r="R367" s="9">
        <f>IFERROR(__xludf.DUMMYFUNCTION("""COMPUTED_VALUE"""),0.3562367149351081)</f>
        <v>0.3562367149</v>
      </c>
    </row>
    <row r="368" ht="14.25" customHeight="1">
      <c r="A368" s="3" t="s">
        <v>23</v>
      </c>
      <c r="B368" s="3" t="s">
        <v>32</v>
      </c>
      <c r="C368" s="3" t="s">
        <v>35</v>
      </c>
      <c r="D368" s="3" t="s">
        <v>30</v>
      </c>
      <c r="E368" s="3" t="s">
        <v>29</v>
      </c>
      <c r="F368" s="3">
        <v>220.0</v>
      </c>
      <c r="G368" s="4" t="s">
        <v>21</v>
      </c>
      <c r="H368" s="3">
        <v>2.375351128442951</v>
      </c>
      <c r="K368" s="9" t="str">
        <f>IFERROR(__xludf.DUMMYFUNCTION("""COMPUTED_VALUE"""),"TT Off North")</f>
        <v>TT Off North</v>
      </c>
      <c r="L368" s="9" t="str">
        <f>IFERROR(__xludf.DUMMYFUNCTION("""COMPUTED_VALUE"""),"Wonderland")</f>
        <v>Wonderland</v>
      </c>
      <c r="M368" s="9" t="str">
        <f>IFERROR(__xludf.DUMMYFUNCTION("""COMPUTED_VALUE"""),"Mina Organic")</f>
        <v>Mina Organic</v>
      </c>
      <c r="N368" s="9" t="str">
        <f>IFERROR(__xludf.DUMMYFUNCTION("""COMPUTED_VALUE"""),"Less Sugar")</f>
        <v>Less Sugar</v>
      </c>
      <c r="O368" s="9" t="str">
        <f>IFERROR(__xludf.DUMMYFUNCTION("""COMPUTED_VALUE"""),"PLBT")</f>
        <v>PLBT</v>
      </c>
      <c r="P368" s="9">
        <f>IFERROR(__xludf.DUMMYFUNCTION("""COMPUTED_VALUE"""),237.0)</f>
        <v>237</v>
      </c>
      <c r="Q368" s="9" t="str">
        <f>IFERROR(__xludf.DUMMYFUNCTION("""COMPUTED_VALUE"""),"Q4'22")</f>
        <v>Q4'22</v>
      </c>
      <c r="R368" s="9">
        <f>IFERROR(__xludf.DUMMYFUNCTION("""COMPUTED_VALUE"""),0.3642776911854965)</f>
        <v>0.3642776912</v>
      </c>
    </row>
    <row r="369" ht="14.25" customHeight="1">
      <c r="A369" s="3" t="s">
        <v>23</v>
      </c>
      <c r="B369" s="3" t="s">
        <v>32</v>
      </c>
      <c r="C369" s="3" t="s">
        <v>35</v>
      </c>
      <c r="D369" s="3" t="s">
        <v>30</v>
      </c>
      <c r="E369" s="3" t="s">
        <v>29</v>
      </c>
      <c r="F369" s="3">
        <v>220.0</v>
      </c>
      <c r="G369" s="4" t="s">
        <v>22</v>
      </c>
      <c r="H369" s="3">
        <v>2.1707228032461354</v>
      </c>
      <c r="K369" s="9" t="str">
        <f>IFERROR(__xludf.DUMMYFUNCTION("""COMPUTED_VALUE"""),"TT Off North")</f>
        <v>TT Off North</v>
      </c>
      <c r="L369" s="9" t="str">
        <f>IFERROR(__xludf.DUMMYFUNCTION("""COMPUTED_VALUE"""),"Wonderland")</f>
        <v>Wonderland</v>
      </c>
      <c r="M369" s="9" t="str">
        <f>IFERROR(__xludf.DUMMYFUNCTION("""COMPUTED_VALUE"""),"Mina Organic")</f>
        <v>Mina Organic</v>
      </c>
      <c r="N369" s="9" t="str">
        <f>IFERROR(__xludf.DUMMYFUNCTION("""COMPUTED_VALUE"""),"Less Sugar")</f>
        <v>Less Sugar</v>
      </c>
      <c r="O369" s="9" t="str">
        <f>IFERROR(__xludf.DUMMYFUNCTION("""COMPUTED_VALUE"""),"PLBT")</f>
        <v>PLBT</v>
      </c>
      <c r="P369" s="9">
        <f>IFERROR(__xludf.DUMMYFUNCTION("""COMPUTED_VALUE"""),237.0)</f>
        <v>237</v>
      </c>
      <c r="Q369" s="9" t="str">
        <f>IFERROR(__xludf.DUMMYFUNCTION("""COMPUTED_VALUE"""),"Q1'23")</f>
        <v>Q1'23</v>
      </c>
      <c r="R369" s="9">
        <f>IFERROR(__xludf.DUMMYFUNCTION("""COMPUTED_VALUE"""),0.3765290704695357)</f>
        <v>0.3765290705</v>
      </c>
    </row>
    <row r="370" ht="14.25" customHeight="1">
      <c r="A370" s="3" t="s">
        <v>23</v>
      </c>
      <c r="B370" s="3" t="s">
        <v>41</v>
      </c>
      <c r="C370" s="3" t="s">
        <v>42</v>
      </c>
      <c r="D370" s="3" t="s">
        <v>37</v>
      </c>
      <c r="E370" s="3" t="s">
        <v>43</v>
      </c>
      <c r="F370" s="3">
        <v>237.0</v>
      </c>
      <c r="G370" s="4" t="s">
        <v>15</v>
      </c>
      <c r="H370" s="3">
        <v>0.9419418177344072</v>
      </c>
      <c r="K370" s="9" t="str">
        <f>IFERROR(__xludf.DUMMYFUNCTION("""COMPUTED_VALUE"""),"TT Off North")</f>
        <v>TT Off North</v>
      </c>
      <c r="L370" s="9" t="str">
        <f>IFERROR(__xludf.DUMMYFUNCTION("""COMPUTED_VALUE"""),"Wonderland")</f>
        <v>Wonderland</v>
      </c>
      <c r="M370" s="9" t="str">
        <f>IFERROR(__xludf.DUMMYFUNCTION("""COMPUTED_VALUE"""),"Mina Organic")</f>
        <v>Mina Organic</v>
      </c>
      <c r="N370" s="9" t="str">
        <f>IFERROR(__xludf.DUMMYFUNCTION("""COMPUTED_VALUE"""),"Less Sugar")</f>
        <v>Less Sugar</v>
      </c>
      <c r="O370" s="9" t="str">
        <f>IFERROR(__xludf.DUMMYFUNCTION("""COMPUTED_VALUE"""),"PLBT")</f>
        <v>PLBT</v>
      </c>
      <c r="P370" s="9">
        <f>IFERROR(__xludf.DUMMYFUNCTION("""COMPUTED_VALUE"""),237.0)</f>
        <v>237</v>
      </c>
      <c r="Q370" s="9" t="str">
        <f>IFERROR(__xludf.DUMMYFUNCTION("""COMPUTED_VALUE"""),"Q2'23")</f>
        <v>Q2'23</v>
      </c>
      <c r="R370" s="9">
        <f>IFERROR(__xludf.DUMMYFUNCTION("""COMPUTED_VALUE"""),0.6892124596494575)</f>
        <v>0.6892124596</v>
      </c>
    </row>
    <row r="371" ht="14.25" customHeight="1">
      <c r="A371" s="3" t="s">
        <v>23</v>
      </c>
      <c r="B371" s="3" t="s">
        <v>41</v>
      </c>
      <c r="C371" s="3" t="s">
        <v>42</v>
      </c>
      <c r="D371" s="3" t="s">
        <v>37</v>
      </c>
      <c r="E371" s="3" t="s">
        <v>43</v>
      </c>
      <c r="F371" s="3">
        <v>237.0</v>
      </c>
      <c r="G371" s="4" t="s">
        <v>16</v>
      </c>
      <c r="H371" s="3">
        <v>1.3256507528568882</v>
      </c>
      <c r="K371" s="9" t="str">
        <f>IFERROR(__xludf.DUMMYFUNCTION("""COMPUTED_VALUE"""),"TT Off North")</f>
        <v>TT Off North</v>
      </c>
      <c r="L371" s="9" t="str">
        <f>IFERROR(__xludf.DUMMYFUNCTION("""COMPUTED_VALUE"""),"Wonderland")</f>
        <v>Wonderland</v>
      </c>
      <c r="M371" s="9" t="str">
        <f>IFERROR(__xludf.DUMMYFUNCTION("""COMPUTED_VALUE"""),"Mina Organic")</f>
        <v>Mina Organic</v>
      </c>
      <c r="N371" s="9" t="str">
        <f>IFERROR(__xludf.DUMMYFUNCTION("""COMPUTED_VALUE"""),"Less Sugar")</f>
        <v>Less Sugar</v>
      </c>
      <c r="O371" s="9" t="str">
        <f>IFERROR(__xludf.DUMMYFUNCTION("""COMPUTED_VALUE"""),"PLBT")</f>
        <v>PLBT</v>
      </c>
      <c r="P371" s="9">
        <f>IFERROR(__xludf.DUMMYFUNCTION("""COMPUTED_VALUE"""),237.0)</f>
        <v>237</v>
      </c>
      <c r="Q371" s="9" t="str">
        <f>IFERROR(__xludf.DUMMYFUNCTION("""COMPUTED_VALUE"""),"Q3'23")</f>
        <v>Q3'23</v>
      </c>
      <c r="R371" s="9">
        <f>IFERROR(__xludf.DUMMYFUNCTION("""COMPUTED_VALUE"""),0.7731331931245273)</f>
        <v>0.7731331931</v>
      </c>
    </row>
    <row r="372" ht="14.25" customHeight="1">
      <c r="A372" s="3" t="s">
        <v>23</v>
      </c>
      <c r="B372" s="3" t="s">
        <v>41</v>
      </c>
      <c r="C372" s="3" t="s">
        <v>42</v>
      </c>
      <c r="D372" s="3" t="s">
        <v>37</v>
      </c>
      <c r="E372" s="3" t="s">
        <v>43</v>
      </c>
      <c r="F372" s="3">
        <v>237.0</v>
      </c>
      <c r="G372" s="4" t="s">
        <v>17</v>
      </c>
      <c r="H372" s="3">
        <v>1.1505253108258042</v>
      </c>
      <c r="K372" s="9" t="str">
        <f>IFERROR(__xludf.DUMMYFUNCTION("""COMPUTED_VALUE"""),"TT Off North")</f>
        <v>TT Off North</v>
      </c>
      <c r="L372" s="9" t="str">
        <f>IFERROR(__xludf.DUMMYFUNCTION("""COMPUTED_VALUE"""),"Wonderland")</f>
        <v>Wonderland</v>
      </c>
      <c r="M372" s="9" t="str">
        <f>IFERROR(__xludf.DUMMYFUNCTION("""COMPUTED_VALUE"""),"Mina Organic")</f>
        <v>Mina Organic</v>
      </c>
      <c r="N372" s="9" t="str">
        <f>IFERROR(__xludf.DUMMYFUNCTION("""COMPUTED_VALUE"""),"Less Sugar")</f>
        <v>Less Sugar</v>
      </c>
      <c r="O372" s="9" t="str">
        <f>IFERROR(__xludf.DUMMYFUNCTION("""COMPUTED_VALUE"""),"PLBT")</f>
        <v>PLBT</v>
      </c>
      <c r="P372" s="9">
        <f>IFERROR(__xludf.DUMMYFUNCTION("""COMPUTED_VALUE"""),237.0)</f>
        <v>237</v>
      </c>
      <c r="Q372" s="9" t="str">
        <f>IFERROR(__xludf.DUMMYFUNCTION("""COMPUTED_VALUE"""),"Q4'23")</f>
        <v>Q4'23</v>
      </c>
      <c r="R372" s="9">
        <f>IFERROR(__xludf.DUMMYFUNCTION("""COMPUTED_VALUE"""),0.6481712008510161)</f>
        <v>0.6481712009</v>
      </c>
    </row>
    <row r="373" ht="14.25" customHeight="1">
      <c r="A373" s="3" t="s">
        <v>23</v>
      </c>
      <c r="B373" s="3" t="s">
        <v>41</v>
      </c>
      <c r="C373" s="3" t="s">
        <v>42</v>
      </c>
      <c r="D373" s="3" t="s">
        <v>37</v>
      </c>
      <c r="E373" s="3" t="s">
        <v>43</v>
      </c>
      <c r="F373" s="3">
        <v>237.0</v>
      </c>
      <c r="G373" s="4" t="s">
        <v>18</v>
      </c>
      <c r="H373" s="3">
        <v>1.299490423531185</v>
      </c>
      <c r="K373" s="9" t="str">
        <f>IFERROR(__xludf.DUMMYFUNCTION("""COMPUTED_VALUE"""),"TT Off North")</f>
        <v>TT Off North</v>
      </c>
      <c r="L373" s="9" t="str">
        <f>IFERROR(__xludf.DUMMYFUNCTION("""COMPUTED_VALUE"""),"Wonderland")</f>
        <v>Wonderland</v>
      </c>
      <c r="M373" s="9" t="str">
        <f>IFERROR(__xludf.DUMMYFUNCTION("""COMPUTED_VALUE"""),"Happy Kids")</f>
        <v>Happy Kids</v>
      </c>
      <c r="N373" s="9" t="str">
        <f>IFERROR(__xludf.DUMMYFUNCTION("""COMPUTED_VALUE"""),"Vanilla")</f>
        <v>Vanilla</v>
      </c>
      <c r="O373" s="9" t="str">
        <f>IFERROR(__xludf.DUMMYFUNCTION("""COMPUTED_VALUE"""),"PLBT")</f>
        <v>PLBT</v>
      </c>
      <c r="P373" s="9">
        <f>IFERROR(__xludf.DUMMYFUNCTION("""COMPUTED_VALUE"""),237.0)</f>
        <v>237</v>
      </c>
      <c r="Q373" s="9" t="str">
        <f>IFERROR(__xludf.DUMMYFUNCTION("""COMPUTED_VALUE"""),"Q1'22")</f>
        <v>Q1'22</v>
      </c>
      <c r="R373" s="9">
        <f>IFERROR(__xludf.DUMMYFUNCTION("""COMPUTED_VALUE"""),0.7688085585193623)</f>
        <v>0.7688085585</v>
      </c>
    </row>
    <row r="374" ht="14.25" customHeight="1">
      <c r="A374" s="3" t="s">
        <v>23</v>
      </c>
      <c r="B374" s="3" t="s">
        <v>41</v>
      </c>
      <c r="C374" s="3" t="s">
        <v>42</v>
      </c>
      <c r="D374" s="3" t="s">
        <v>37</v>
      </c>
      <c r="E374" s="3" t="s">
        <v>43</v>
      </c>
      <c r="F374" s="3">
        <v>237.0</v>
      </c>
      <c r="G374" s="4" t="s">
        <v>19</v>
      </c>
      <c r="H374" s="3">
        <v>1.109522285740134</v>
      </c>
      <c r="K374" s="9" t="str">
        <f>IFERROR(__xludf.DUMMYFUNCTION("""COMPUTED_VALUE"""),"TT Off North")</f>
        <v>TT Off North</v>
      </c>
      <c r="L374" s="9" t="str">
        <f>IFERROR(__xludf.DUMMYFUNCTION("""COMPUTED_VALUE"""),"Wonderland")</f>
        <v>Wonderland</v>
      </c>
      <c r="M374" s="9" t="str">
        <f>IFERROR(__xludf.DUMMYFUNCTION("""COMPUTED_VALUE"""),"Happy Kids")</f>
        <v>Happy Kids</v>
      </c>
      <c r="N374" s="9" t="str">
        <f>IFERROR(__xludf.DUMMYFUNCTION("""COMPUTED_VALUE"""),"Vanilla")</f>
        <v>Vanilla</v>
      </c>
      <c r="O374" s="9" t="str">
        <f>IFERROR(__xludf.DUMMYFUNCTION("""COMPUTED_VALUE"""),"PLBT")</f>
        <v>PLBT</v>
      </c>
      <c r="P374" s="9">
        <f>IFERROR(__xludf.DUMMYFUNCTION("""COMPUTED_VALUE"""),237.0)</f>
        <v>237</v>
      </c>
      <c r="Q374" s="9" t="str">
        <f>IFERROR(__xludf.DUMMYFUNCTION("""COMPUTED_VALUE"""),"Q2'22")</f>
        <v>Q2'22</v>
      </c>
      <c r="R374" s="9">
        <f>IFERROR(__xludf.DUMMYFUNCTION("""COMPUTED_VALUE"""),1.0680361508475682)</f>
        <v>1.068036151</v>
      </c>
    </row>
    <row r="375" ht="14.25" customHeight="1">
      <c r="A375" s="3" t="s">
        <v>23</v>
      </c>
      <c r="B375" s="3" t="s">
        <v>41</v>
      </c>
      <c r="C375" s="3" t="s">
        <v>42</v>
      </c>
      <c r="D375" s="3" t="s">
        <v>37</v>
      </c>
      <c r="E375" s="3" t="s">
        <v>43</v>
      </c>
      <c r="F375" s="3">
        <v>237.0</v>
      </c>
      <c r="G375" s="4" t="s">
        <v>20</v>
      </c>
      <c r="H375" s="3">
        <v>1.2443036424504457</v>
      </c>
      <c r="K375" s="9" t="str">
        <f>IFERROR(__xludf.DUMMYFUNCTION("""COMPUTED_VALUE"""),"TT Off North")</f>
        <v>TT Off North</v>
      </c>
      <c r="L375" s="9" t="str">
        <f>IFERROR(__xludf.DUMMYFUNCTION("""COMPUTED_VALUE"""),"Wonderland")</f>
        <v>Wonderland</v>
      </c>
      <c r="M375" s="9" t="str">
        <f>IFERROR(__xludf.DUMMYFUNCTION("""COMPUTED_VALUE"""),"Happy Kids")</f>
        <v>Happy Kids</v>
      </c>
      <c r="N375" s="9" t="str">
        <f>IFERROR(__xludf.DUMMYFUNCTION("""COMPUTED_VALUE"""),"Vanilla")</f>
        <v>Vanilla</v>
      </c>
      <c r="O375" s="9" t="str">
        <f>IFERROR(__xludf.DUMMYFUNCTION("""COMPUTED_VALUE"""),"PLBT")</f>
        <v>PLBT</v>
      </c>
      <c r="P375" s="9">
        <f>IFERROR(__xludf.DUMMYFUNCTION("""COMPUTED_VALUE"""),237.0)</f>
        <v>237</v>
      </c>
      <c r="Q375" s="9" t="str">
        <f>IFERROR(__xludf.DUMMYFUNCTION("""COMPUTED_VALUE"""),"Q3'22")</f>
        <v>Q3'22</v>
      </c>
      <c r="R375" s="9">
        <f>IFERROR(__xludf.DUMMYFUNCTION("""COMPUTED_VALUE"""),1.1221940142355489)</f>
        <v>1.122194014</v>
      </c>
    </row>
    <row r="376" ht="14.25" customHeight="1">
      <c r="A376" s="3" t="s">
        <v>23</v>
      </c>
      <c r="B376" s="3" t="s">
        <v>41</v>
      </c>
      <c r="C376" s="3" t="s">
        <v>42</v>
      </c>
      <c r="D376" s="3" t="s">
        <v>37</v>
      </c>
      <c r="E376" s="3" t="s">
        <v>43</v>
      </c>
      <c r="F376" s="3">
        <v>237.0</v>
      </c>
      <c r="G376" s="4" t="s">
        <v>21</v>
      </c>
      <c r="H376" s="3">
        <v>1.5071644476835673</v>
      </c>
      <c r="K376" s="9" t="str">
        <f>IFERROR(__xludf.DUMMYFUNCTION("""COMPUTED_VALUE"""),"TT Off North")</f>
        <v>TT Off North</v>
      </c>
      <c r="L376" s="9" t="str">
        <f>IFERROR(__xludf.DUMMYFUNCTION("""COMPUTED_VALUE"""),"Wonderland")</f>
        <v>Wonderland</v>
      </c>
      <c r="M376" s="9" t="str">
        <f>IFERROR(__xludf.DUMMYFUNCTION("""COMPUTED_VALUE"""),"Happy Kids")</f>
        <v>Happy Kids</v>
      </c>
      <c r="N376" s="9" t="str">
        <f>IFERROR(__xludf.DUMMYFUNCTION("""COMPUTED_VALUE"""),"Vanilla")</f>
        <v>Vanilla</v>
      </c>
      <c r="O376" s="9" t="str">
        <f>IFERROR(__xludf.DUMMYFUNCTION("""COMPUTED_VALUE"""),"PLBT")</f>
        <v>PLBT</v>
      </c>
      <c r="P376" s="9">
        <f>IFERROR(__xludf.DUMMYFUNCTION("""COMPUTED_VALUE"""),237.0)</f>
        <v>237</v>
      </c>
      <c r="Q376" s="9" t="str">
        <f>IFERROR(__xludf.DUMMYFUNCTION("""COMPUTED_VALUE"""),"Q4'22")</f>
        <v>Q4'22</v>
      </c>
      <c r="R376" s="9">
        <f>IFERROR(__xludf.DUMMYFUNCTION("""COMPUTED_VALUE"""),1.1330571882822469)</f>
        <v>1.133057188</v>
      </c>
    </row>
    <row r="377" ht="14.25" customHeight="1">
      <c r="A377" s="3" t="s">
        <v>23</v>
      </c>
      <c r="B377" s="3" t="s">
        <v>41</v>
      </c>
      <c r="C377" s="3" t="s">
        <v>42</v>
      </c>
      <c r="D377" s="3" t="s">
        <v>37</v>
      </c>
      <c r="E377" s="3" t="s">
        <v>43</v>
      </c>
      <c r="F377" s="3">
        <v>237.0</v>
      </c>
      <c r="G377" s="4" t="s">
        <v>22</v>
      </c>
      <c r="H377" s="3">
        <v>1.7037658135320628</v>
      </c>
      <c r="K377" s="9" t="str">
        <f>IFERROR(__xludf.DUMMYFUNCTION("""COMPUTED_VALUE"""),"TT Off North")</f>
        <v>TT Off North</v>
      </c>
      <c r="L377" s="9" t="str">
        <f>IFERROR(__xludf.DUMMYFUNCTION("""COMPUTED_VALUE"""),"Wonderland")</f>
        <v>Wonderland</v>
      </c>
      <c r="M377" s="9" t="str">
        <f>IFERROR(__xludf.DUMMYFUNCTION("""COMPUTED_VALUE"""),"Happy Kids")</f>
        <v>Happy Kids</v>
      </c>
      <c r="N377" s="9" t="str">
        <f>IFERROR(__xludf.DUMMYFUNCTION("""COMPUTED_VALUE"""),"Vanilla")</f>
        <v>Vanilla</v>
      </c>
      <c r="O377" s="9" t="str">
        <f>IFERROR(__xludf.DUMMYFUNCTION("""COMPUTED_VALUE"""),"PLBT")</f>
        <v>PLBT</v>
      </c>
      <c r="P377" s="9">
        <f>IFERROR(__xludf.DUMMYFUNCTION("""COMPUTED_VALUE"""),237.0)</f>
        <v>237</v>
      </c>
      <c r="Q377" s="9" t="str">
        <f>IFERROR(__xludf.DUMMYFUNCTION("""COMPUTED_VALUE"""),"Q1'23")</f>
        <v>Q1'23</v>
      </c>
      <c r="R377" s="9">
        <f>IFERROR(__xludf.DUMMYFUNCTION("""COMPUTED_VALUE"""),1.2095964573975553)</f>
        <v>1.209596457</v>
      </c>
    </row>
    <row r="378" ht="14.25" customHeight="1">
      <c r="A378" s="3" t="s">
        <v>23</v>
      </c>
      <c r="B378" s="3" t="s">
        <v>41</v>
      </c>
      <c r="C378" s="3" t="s">
        <v>44</v>
      </c>
      <c r="D378" s="3" t="s">
        <v>34</v>
      </c>
      <c r="E378" s="3" t="s">
        <v>43</v>
      </c>
      <c r="F378" s="3">
        <v>237.0</v>
      </c>
      <c r="G378" s="4" t="s">
        <v>15</v>
      </c>
      <c r="H378" s="3">
        <v>3.8420034503330585</v>
      </c>
      <c r="K378" s="9" t="str">
        <f>IFERROR(__xludf.DUMMYFUNCTION("""COMPUTED_VALUE"""),"TT Off North")</f>
        <v>TT Off North</v>
      </c>
      <c r="L378" s="9" t="str">
        <f>IFERROR(__xludf.DUMMYFUNCTION("""COMPUTED_VALUE"""),"Wonderland")</f>
        <v>Wonderland</v>
      </c>
      <c r="M378" s="9" t="str">
        <f>IFERROR(__xludf.DUMMYFUNCTION("""COMPUTED_VALUE"""),"Happy Kids")</f>
        <v>Happy Kids</v>
      </c>
      <c r="N378" s="9" t="str">
        <f>IFERROR(__xludf.DUMMYFUNCTION("""COMPUTED_VALUE"""),"Vanilla")</f>
        <v>Vanilla</v>
      </c>
      <c r="O378" s="9" t="str">
        <f>IFERROR(__xludf.DUMMYFUNCTION("""COMPUTED_VALUE"""),"PLBT")</f>
        <v>PLBT</v>
      </c>
      <c r="P378" s="9">
        <f>IFERROR(__xludf.DUMMYFUNCTION("""COMPUTED_VALUE"""),237.0)</f>
        <v>237</v>
      </c>
      <c r="Q378" s="9" t="str">
        <f>IFERROR(__xludf.DUMMYFUNCTION("""COMPUTED_VALUE"""),"Q2'23")</f>
        <v>Q2'23</v>
      </c>
      <c r="R378" s="9">
        <f>IFERROR(__xludf.DUMMYFUNCTION("""COMPUTED_VALUE"""),1.3406146564311616)</f>
        <v>1.340614656</v>
      </c>
    </row>
    <row r="379" ht="14.25" customHeight="1">
      <c r="A379" s="3" t="s">
        <v>23</v>
      </c>
      <c r="B379" s="3" t="s">
        <v>41</v>
      </c>
      <c r="C379" s="3" t="s">
        <v>44</v>
      </c>
      <c r="D379" s="3" t="s">
        <v>34</v>
      </c>
      <c r="E379" s="3" t="s">
        <v>43</v>
      </c>
      <c r="F379" s="3">
        <v>237.0</v>
      </c>
      <c r="G379" s="4" t="s">
        <v>16</v>
      </c>
      <c r="H379" s="3">
        <v>3.8590163485889617</v>
      </c>
      <c r="K379" s="9" t="str">
        <f>IFERROR(__xludf.DUMMYFUNCTION("""COMPUTED_VALUE"""),"TT Off North")</f>
        <v>TT Off North</v>
      </c>
      <c r="L379" s="9" t="str">
        <f>IFERROR(__xludf.DUMMYFUNCTION("""COMPUTED_VALUE"""),"Wonderland")</f>
        <v>Wonderland</v>
      </c>
      <c r="M379" s="9" t="str">
        <f>IFERROR(__xludf.DUMMYFUNCTION("""COMPUTED_VALUE"""),"Happy Kids")</f>
        <v>Happy Kids</v>
      </c>
      <c r="N379" s="9" t="str">
        <f>IFERROR(__xludf.DUMMYFUNCTION("""COMPUTED_VALUE"""),"Vanilla")</f>
        <v>Vanilla</v>
      </c>
      <c r="O379" s="9" t="str">
        <f>IFERROR(__xludf.DUMMYFUNCTION("""COMPUTED_VALUE"""),"PLBT")</f>
        <v>PLBT</v>
      </c>
      <c r="P379" s="9">
        <f>IFERROR(__xludf.DUMMYFUNCTION("""COMPUTED_VALUE"""),237.0)</f>
        <v>237</v>
      </c>
      <c r="Q379" s="9" t="str">
        <f>IFERROR(__xludf.DUMMYFUNCTION("""COMPUTED_VALUE"""),"Q3'23")</f>
        <v>Q3'23</v>
      </c>
      <c r="R379" s="9">
        <f>IFERROR(__xludf.DUMMYFUNCTION("""COMPUTED_VALUE"""),1.5815315060278272)</f>
        <v>1.581531506</v>
      </c>
    </row>
    <row r="380" ht="14.25" customHeight="1">
      <c r="A380" s="3" t="s">
        <v>23</v>
      </c>
      <c r="B380" s="3" t="s">
        <v>41</v>
      </c>
      <c r="C380" s="3" t="s">
        <v>44</v>
      </c>
      <c r="D380" s="3" t="s">
        <v>34</v>
      </c>
      <c r="E380" s="3" t="s">
        <v>43</v>
      </c>
      <c r="F380" s="3">
        <v>237.0</v>
      </c>
      <c r="G380" s="4" t="s">
        <v>17</v>
      </c>
      <c r="H380" s="3">
        <v>4.28800432304793</v>
      </c>
      <c r="K380" s="9" t="str">
        <f>IFERROR(__xludf.DUMMYFUNCTION("""COMPUTED_VALUE"""),"TT Off North")</f>
        <v>TT Off North</v>
      </c>
      <c r="L380" s="9" t="str">
        <f>IFERROR(__xludf.DUMMYFUNCTION("""COMPUTED_VALUE"""),"Wonderland")</f>
        <v>Wonderland</v>
      </c>
      <c r="M380" s="9" t="str">
        <f>IFERROR(__xludf.DUMMYFUNCTION("""COMPUTED_VALUE"""),"Happy Kids")</f>
        <v>Happy Kids</v>
      </c>
      <c r="N380" s="9" t="str">
        <f>IFERROR(__xludf.DUMMYFUNCTION("""COMPUTED_VALUE"""),"Vanilla")</f>
        <v>Vanilla</v>
      </c>
      <c r="O380" s="9" t="str">
        <f>IFERROR(__xludf.DUMMYFUNCTION("""COMPUTED_VALUE"""),"PLBT")</f>
        <v>PLBT</v>
      </c>
      <c r="P380" s="9">
        <f>IFERROR(__xludf.DUMMYFUNCTION("""COMPUTED_VALUE"""),237.0)</f>
        <v>237</v>
      </c>
      <c r="Q380" s="9" t="str">
        <f>IFERROR(__xludf.DUMMYFUNCTION("""COMPUTED_VALUE"""),"Q4'23")</f>
        <v>Q4'23</v>
      </c>
      <c r="R380" s="9">
        <f>IFERROR(__xludf.DUMMYFUNCTION("""COMPUTED_VALUE"""),1.4667336641328805)</f>
        <v>1.466733664</v>
      </c>
    </row>
    <row r="381" ht="14.25" customHeight="1">
      <c r="A381" s="3" t="s">
        <v>23</v>
      </c>
      <c r="B381" s="3" t="s">
        <v>41</v>
      </c>
      <c r="C381" s="3" t="s">
        <v>44</v>
      </c>
      <c r="D381" s="3" t="s">
        <v>34</v>
      </c>
      <c r="E381" s="3" t="s">
        <v>43</v>
      </c>
      <c r="F381" s="3">
        <v>237.0</v>
      </c>
      <c r="G381" s="4" t="s">
        <v>18</v>
      </c>
      <c r="H381" s="3">
        <v>4.478020997344076</v>
      </c>
      <c r="K381" s="9" t="str">
        <f>IFERROR(__xludf.DUMMYFUNCTION("""COMPUTED_VALUE"""),"TT Off Central")</f>
        <v>TT Off Central</v>
      </c>
      <c r="L381" s="9" t="str">
        <f>IFERROR(__xludf.DUMMYFUNCTION("""COMPUTED_VALUE"""),"Elite")</f>
        <v>Elite</v>
      </c>
      <c r="M381" s="9" t="str">
        <f>IFERROR(__xludf.DUMMYFUNCTION("""COMPUTED_VALUE"""),"Unami Organic")</f>
        <v>Unami Organic</v>
      </c>
      <c r="N381" s="9" t="str">
        <f>IFERROR(__xludf.DUMMYFUNCTION("""COMPUTED_VALUE"""),"Plain")</f>
        <v>Plain</v>
      </c>
      <c r="O381" s="9" t="str">
        <f>IFERROR(__xludf.DUMMYFUNCTION("""COMPUTED_VALUE"""),"Carton")</f>
        <v>Carton</v>
      </c>
      <c r="P381" s="9">
        <f>IFERROR(__xludf.DUMMYFUNCTION("""COMPUTED_VALUE"""),1000.0)</f>
        <v>1000</v>
      </c>
      <c r="Q381" s="9" t="str">
        <f>IFERROR(__xludf.DUMMYFUNCTION("""COMPUTED_VALUE"""),"Q1'22")</f>
        <v>Q1'22</v>
      </c>
      <c r="R381" s="9">
        <f>IFERROR(__xludf.DUMMYFUNCTION("""COMPUTED_VALUE"""),0.20147318447950882)</f>
        <v>0.2014731845</v>
      </c>
    </row>
    <row r="382" ht="14.25" customHeight="1">
      <c r="A382" s="3" t="s">
        <v>23</v>
      </c>
      <c r="B382" s="3" t="s">
        <v>41</v>
      </c>
      <c r="C382" s="3" t="s">
        <v>44</v>
      </c>
      <c r="D382" s="3" t="s">
        <v>34</v>
      </c>
      <c r="E382" s="3" t="s">
        <v>43</v>
      </c>
      <c r="F382" s="3">
        <v>237.0</v>
      </c>
      <c r="G382" s="4" t="s">
        <v>19</v>
      </c>
      <c r="H382" s="3">
        <v>4.127930895021536</v>
      </c>
      <c r="K382" s="9" t="str">
        <f>IFERROR(__xludf.DUMMYFUNCTION("""COMPUTED_VALUE"""),"TT Off Central")</f>
        <v>TT Off Central</v>
      </c>
      <c r="L382" s="9" t="str">
        <f>IFERROR(__xludf.DUMMYFUNCTION("""COMPUTED_VALUE"""),"Elite")</f>
        <v>Elite</v>
      </c>
      <c r="M382" s="9" t="str">
        <f>IFERROR(__xludf.DUMMYFUNCTION("""COMPUTED_VALUE"""),"Unami Organic")</f>
        <v>Unami Organic</v>
      </c>
      <c r="N382" s="9" t="str">
        <f>IFERROR(__xludf.DUMMYFUNCTION("""COMPUTED_VALUE"""),"Plain")</f>
        <v>Plain</v>
      </c>
      <c r="O382" s="9" t="str">
        <f>IFERROR(__xludf.DUMMYFUNCTION("""COMPUTED_VALUE"""),"Carton")</f>
        <v>Carton</v>
      </c>
      <c r="P382" s="9">
        <f>IFERROR(__xludf.DUMMYFUNCTION("""COMPUTED_VALUE"""),1000.0)</f>
        <v>1000</v>
      </c>
      <c r="Q382" s="9" t="str">
        <f>IFERROR(__xludf.DUMMYFUNCTION("""COMPUTED_VALUE"""),"Q2'22")</f>
        <v>Q2'22</v>
      </c>
      <c r="R382" s="9">
        <f>IFERROR(__xludf.DUMMYFUNCTION("""COMPUTED_VALUE"""),0.2667511178225071)</f>
        <v>0.2667511178</v>
      </c>
    </row>
    <row r="383" ht="14.25" customHeight="1">
      <c r="A383" s="3" t="s">
        <v>23</v>
      </c>
      <c r="B383" s="3" t="s">
        <v>41</v>
      </c>
      <c r="C383" s="3" t="s">
        <v>44</v>
      </c>
      <c r="D383" s="3" t="s">
        <v>34</v>
      </c>
      <c r="E383" s="3" t="s">
        <v>43</v>
      </c>
      <c r="F383" s="3">
        <v>237.0</v>
      </c>
      <c r="G383" s="4" t="s">
        <v>20</v>
      </c>
      <c r="H383" s="3">
        <v>4.9202235855043375</v>
      </c>
      <c r="K383" s="9" t="str">
        <f>IFERROR(__xludf.DUMMYFUNCTION("""COMPUTED_VALUE"""),"TT Off Central")</f>
        <v>TT Off Central</v>
      </c>
      <c r="L383" s="9" t="str">
        <f>IFERROR(__xludf.DUMMYFUNCTION("""COMPUTED_VALUE"""),"Elite")</f>
        <v>Elite</v>
      </c>
      <c r="M383" s="9" t="str">
        <f>IFERROR(__xludf.DUMMYFUNCTION("""COMPUTED_VALUE"""),"Unami Organic")</f>
        <v>Unami Organic</v>
      </c>
      <c r="N383" s="9" t="str">
        <f>IFERROR(__xludf.DUMMYFUNCTION("""COMPUTED_VALUE"""),"Plain")</f>
        <v>Plain</v>
      </c>
      <c r="O383" s="9" t="str">
        <f>IFERROR(__xludf.DUMMYFUNCTION("""COMPUTED_VALUE"""),"Carton")</f>
        <v>Carton</v>
      </c>
      <c r="P383" s="9">
        <f>IFERROR(__xludf.DUMMYFUNCTION("""COMPUTED_VALUE"""),1000.0)</f>
        <v>1000</v>
      </c>
      <c r="Q383" s="9" t="str">
        <f>IFERROR(__xludf.DUMMYFUNCTION("""COMPUTED_VALUE"""),"Q3'22")</f>
        <v>Q3'22</v>
      </c>
      <c r="R383" s="9">
        <f>IFERROR(__xludf.DUMMYFUNCTION("""COMPUTED_VALUE"""),0.2599665834445598)</f>
        <v>0.2599665834</v>
      </c>
    </row>
    <row r="384" ht="14.25" customHeight="1">
      <c r="A384" s="3" t="s">
        <v>23</v>
      </c>
      <c r="B384" s="3" t="s">
        <v>41</v>
      </c>
      <c r="C384" s="3" t="s">
        <v>44</v>
      </c>
      <c r="D384" s="3" t="s">
        <v>34</v>
      </c>
      <c r="E384" s="3" t="s">
        <v>43</v>
      </c>
      <c r="F384" s="3">
        <v>237.0</v>
      </c>
      <c r="G384" s="4" t="s">
        <v>21</v>
      </c>
      <c r="H384" s="3">
        <v>5.064863050549505</v>
      </c>
      <c r="K384" s="9" t="str">
        <f>IFERROR(__xludf.DUMMYFUNCTION("""COMPUTED_VALUE"""),"TT Off Central")</f>
        <v>TT Off Central</v>
      </c>
      <c r="L384" s="9" t="str">
        <f>IFERROR(__xludf.DUMMYFUNCTION("""COMPUTED_VALUE"""),"Elite")</f>
        <v>Elite</v>
      </c>
      <c r="M384" s="9" t="str">
        <f>IFERROR(__xludf.DUMMYFUNCTION("""COMPUTED_VALUE"""),"Unami Organic")</f>
        <v>Unami Organic</v>
      </c>
      <c r="N384" s="9" t="str">
        <f>IFERROR(__xludf.DUMMYFUNCTION("""COMPUTED_VALUE"""),"Plain")</f>
        <v>Plain</v>
      </c>
      <c r="O384" s="9" t="str">
        <f>IFERROR(__xludf.DUMMYFUNCTION("""COMPUTED_VALUE"""),"Carton")</f>
        <v>Carton</v>
      </c>
      <c r="P384" s="9">
        <f>IFERROR(__xludf.DUMMYFUNCTION("""COMPUTED_VALUE"""),1000.0)</f>
        <v>1000</v>
      </c>
      <c r="Q384" s="9" t="str">
        <f>IFERROR(__xludf.DUMMYFUNCTION("""COMPUTED_VALUE"""),"Q4'22")</f>
        <v>Q4'22</v>
      </c>
      <c r="R384" s="9">
        <f>IFERROR(__xludf.DUMMYFUNCTION("""COMPUTED_VALUE"""),0.21612161983458195)</f>
        <v>0.2161216198</v>
      </c>
    </row>
    <row r="385" ht="14.25" customHeight="1">
      <c r="A385" s="3" t="s">
        <v>23</v>
      </c>
      <c r="B385" s="3" t="s">
        <v>41</v>
      </c>
      <c r="C385" s="3" t="s">
        <v>44</v>
      </c>
      <c r="D385" s="3" t="s">
        <v>34</v>
      </c>
      <c r="E385" s="3" t="s">
        <v>43</v>
      </c>
      <c r="F385" s="3">
        <v>237.0</v>
      </c>
      <c r="G385" s="4" t="s">
        <v>22</v>
      </c>
      <c r="H385" s="3">
        <v>5.472729701707057</v>
      </c>
      <c r="K385" s="9" t="str">
        <f>IFERROR(__xludf.DUMMYFUNCTION("""COMPUTED_VALUE"""),"TT Off Central")</f>
        <v>TT Off Central</v>
      </c>
      <c r="L385" s="9" t="str">
        <f>IFERROR(__xludf.DUMMYFUNCTION("""COMPUTED_VALUE"""),"Elite")</f>
        <v>Elite</v>
      </c>
      <c r="M385" s="9" t="str">
        <f>IFERROR(__xludf.DUMMYFUNCTION("""COMPUTED_VALUE"""),"Unami Organic")</f>
        <v>Unami Organic</v>
      </c>
      <c r="N385" s="9" t="str">
        <f>IFERROR(__xludf.DUMMYFUNCTION("""COMPUTED_VALUE"""),"Plain")</f>
        <v>Plain</v>
      </c>
      <c r="O385" s="9" t="str">
        <f>IFERROR(__xludf.DUMMYFUNCTION("""COMPUTED_VALUE"""),"Carton")</f>
        <v>Carton</v>
      </c>
      <c r="P385" s="9">
        <f>IFERROR(__xludf.DUMMYFUNCTION("""COMPUTED_VALUE"""),1000.0)</f>
        <v>1000</v>
      </c>
      <c r="Q385" s="9" t="str">
        <f>IFERROR(__xludf.DUMMYFUNCTION("""COMPUTED_VALUE"""),"Q1'23")</f>
        <v>Q1'23</v>
      </c>
      <c r="R385" s="9">
        <f>IFERROR(__xludf.DUMMYFUNCTION("""COMPUTED_VALUE"""),0.18119250088030542)</f>
        <v>0.1811925009</v>
      </c>
    </row>
    <row r="386" ht="14.25" customHeight="1">
      <c r="A386" s="3" t="s">
        <v>24</v>
      </c>
      <c r="B386" s="3" t="s">
        <v>11</v>
      </c>
      <c r="C386" s="3" t="s">
        <v>27</v>
      </c>
      <c r="D386" s="3" t="s">
        <v>30</v>
      </c>
      <c r="E386" s="3" t="s">
        <v>14</v>
      </c>
      <c r="F386" s="3">
        <v>1000.0</v>
      </c>
      <c r="G386" s="4" t="s">
        <v>15</v>
      </c>
      <c r="H386" s="3">
        <v>1.0775025582539133</v>
      </c>
      <c r="K386" s="9" t="str">
        <f>IFERROR(__xludf.DUMMYFUNCTION("""COMPUTED_VALUE"""),"TT Off Central")</f>
        <v>TT Off Central</v>
      </c>
      <c r="L386" s="9" t="str">
        <f>IFERROR(__xludf.DUMMYFUNCTION("""COMPUTED_VALUE"""),"Elite")</f>
        <v>Elite</v>
      </c>
      <c r="M386" s="9" t="str">
        <f>IFERROR(__xludf.DUMMYFUNCTION("""COMPUTED_VALUE"""),"Unami Organic")</f>
        <v>Unami Organic</v>
      </c>
      <c r="N386" s="9" t="str">
        <f>IFERROR(__xludf.DUMMYFUNCTION("""COMPUTED_VALUE"""),"Plain")</f>
        <v>Plain</v>
      </c>
      <c r="O386" s="9" t="str">
        <f>IFERROR(__xludf.DUMMYFUNCTION("""COMPUTED_VALUE"""),"Carton")</f>
        <v>Carton</v>
      </c>
      <c r="P386" s="9">
        <f>IFERROR(__xludf.DUMMYFUNCTION("""COMPUTED_VALUE"""),1000.0)</f>
        <v>1000</v>
      </c>
      <c r="Q386" s="9" t="str">
        <f>IFERROR(__xludf.DUMMYFUNCTION("""COMPUTED_VALUE"""),"Q2'23")</f>
        <v>Q2'23</v>
      </c>
      <c r="R386" s="9">
        <f>IFERROR(__xludf.DUMMYFUNCTION("""COMPUTED_VALUE"""),0.24263200970942217)</f>
        <v>0.2426320097</v>
      </c>
    </row>
    <row r="387" ht="14.25" customHeight="1">
      <c r="A387" s="3" t="s">
        <v>24</v>
      </c>
      <c r="B387" s="3" t="s">
        <v>11</v>
      </c>
      <c r="C387" s="3" t="s">
        <v>27</v>
      </c>
      <c r="D387" s="3" t="s">
        <v>30</v>
      </c>
      <c r="E387" s="3" t="s">
        <v>14</v>
      </c>
      <c r="F387" s="3">
        <v>1000.0</v>
      </c>
      <c r="G387" s="4" t="s">
        <v>16</v>
      </c>
      <c r="H387" s="3">
        <v>1.5236430584106337</v>
      </c>
      <c r="K387" s="9" t="str">
        <f>IFERROR(__xludf.DUMMYFUNCTION("""COMPUTED_VALUE"""),"TT Off Central")</f>
        <v>TT Off Central</v>
      </c>
      <c r="L387" s="9" t="str">
        <f>IFERROR(__xludf.DUMMYFUNCTION("""COMPUTED_VALUE"""),"Elite")</f>
        <v>Elite</v>
      </c>
      <c r="M387" s="9" t="str">
        <f>IFERROR(__xludf.DUMMYFUNCTION("""COMPUTED_VALUE"""),"Unami Organic")</f>
        <v>Unami Organic</v>
      </c>
      <c r="N387" s="9" t="str">
        <f>IFERROR(__xludf.DUMMYFUNCTION("""COMPUTED_VALUE"""),"Plain")</f>
        <v>Plain</v>
      </c>
      <c r="O387" s="9" t="str">
        <f>IFERROR(__xludf.DUMMYFUNCTION("""COMPUTED_VALUE"""),"Carton")</f>
        <v>Carton</v>
      </c>
      <c r="P387" s="9">
        <f>IFERROR(__xludf.DUMMYFUNCTION("""COMPUTED_VALUE"""),1000.0)</f>
        <v>1000</v>
      </c>
      <c r="Q387" s="9" t="str">
        <f>IFERROR(__xludf.DUMMYFUNCTION("""COMPUTED_VALUE"""),"Q3'23")</f>
        <v>Q3'23</v>
      </c>
      <c r="R387" s="9">
        <f>IFERROR(__xludf.DUMMYFUNCTION("""COMPUTED_VALUE"""),0.3198776072868832)</f>
        <v>0.3198776073</v>
      </c>
    </row>
    <row r="388" ht="14.25" customHeight="1">
      <c r="A388" s="3" t="s">
        <v>24</v>
      </c>
      <c r="B388" s="3" t="s">
        <v>11</v>
      </c>
      <c r="C388" s="3" t="s">
        <v>27</v>
      </c>
      <c r="D388" s="3" t="s">
        <v>30</v>
      </c>
      <c r="E388" s="3" t="s">
        <v>14</v>
      </c>
      <c r="F388" s="3">
        <v>1000.0</v>
      </c>
      <c r="G388" s="4" t="s">
        <v>17</v>
      </c>
      <c r="H388" s="3">
        <v>1.3885338231559055</v>
      </c>
      <c r="K388" s="9" t="str">
        <f>IFERROR(__xludf.DUMMYFUNCTION("""COMPUTED_VALUE"""),"TT Off Central")</f>
        <v>TT Off Central</v>
      </c>
      <c r="L388" s="9" t="str">
        <f>IFERROR(__xludf.DUMMYFUNCTION("""COMPUTED_VALUE"""),"Elite")</f>
        <v>Elite</v>
      </c>
      <c r="M388" s="9" t="str">
        <f>IFERROR(__xludf.DUMMYFUNCTION("""COMPUTED_VALUE"""),"Unami Organic")</f>
        <v>Unami Organic</v>
      </c>
      <c r="N388" s="9" t="str">
        <f>IFERROR(__xludf.DUMMYFUNCTION("""COMPUTED_VALUE"""),"Plain")</f>
        <v>Plain</v>
      </c>
      <c r="O388" s="9" t="str">
        <f>IFERROR(__xludf.DUMMYFUNCTION("""COMPUTED_VALUE"""),"Carton")</f>
        <v>Carton</v>
      </c>
      <c r="P388" s="9">
        <f>IFERROR(__xludf.DUMMYFUNCTION("""COMPUTED_VALUE"""),1000.0)</f>
        <v>1000</v>
      </c>
      <c r="Q388" s="9" t="str">
        <f>IFERROR(__xludf.DUMMYFUNCTION("""COMPUTED_VALUE"""),"Q4'23")</f>
        <v>Q4'23</v>
      </c>
      <c r="R388" s="9">
        <f>IFERROR(__xludf.DUMMYFUNCTION("""COMPUTED_VALUE"""),0.22775488618912754)</f>
        <v>0.2277548862</v>
      </c>
    </row>
    <row r="389" ht="14.25" customHeight="1">
      <c r="A389" s="3" t="s">
        <v>24</v>
      </c>
      <c r="B389" s="3" t="s">
        <v>11</v>
      </c>
      <c r="C389" s="3" t="s">
        <v>27</v>
      </c>
      <c r="D389" s="3" t="s">
        <v>30</v>
      </c>
      <c r="E389" s="3" t="s">
        <v>14</v>
      </c>
      <c r="F389" s="3">
        <v>1000.0</v>
      </c>
      <c r="G389" s="4" t="s">
        <v>18</v>
      </c>
      <c r="H389" s="3">
        <v>1.0810189529131633</v>
      </c>
      <c r="K389" s="9" t="str">
        <f>IFERROR(__xludf.DUMMYFUNCTION("""COMPUTED_VALUE"""),"TT Off Central")</f>
        <v>TT Off Central</v>
      </c>
      <c r="L389" s="9" t="str">
        <f>IFERROR(__xludf.DUMMYFUNCTION("""COMPUTED_VALUE"""),"Elite")</f>
        <v>Elite</v>
      </c>
      <c r="M389" s="9" t="str">
        <f>IFERROR(__xludf.DUMMYFUNCTION("""COMPUTED_VALUE"""),"Unami Organic")</f>
        <v>Unami Organic</v>
      </c>
      <c r="N389" s="9" t="str">
        <f>IFERROR(__xludf.DUMMYFUNCTION("""COMPUTED_VALUE"""),"Sweetened")</f>
        <v>Sweetened</v>
      </c>
      <c r="O389" s="9" t="str">
        <f>IFERROR(__xludf.DUMMYFUNCTION("""COMPUTED_VALUE"""),"Carton")</f>
        <v>Carton</v>
      </c>
      <c r="P389" s="9">
        <f>IFERROR(__xludf.DUMMYFUNCTION("""COMPUTED_VALUE"""),1000.0)</f>
        <v>1000</v>
      </c>
      <c r="Q389" s="9" t="str">
        <f>IFERROR(__xludf.DUMMYFUNCTION("""COMPUTED_VALUE"""),"Q1'22")</f>
        <v>Q1'22</v>
      </c>
      <c r="R389" s="9">
        <f>IFERROR(__xludf.DUMMYFUNCTION("""COMPUTED_VALUE"""),0.21605110117488036)</f>
        <v>0.2160511012</v>
      </c>
    </row>
    <row r="390" ht="14.25" customHeight="1">
      <c r="A390" s="3" t="s">
        <v>24</v>
      </c>
      <c r="B390" s="3" t="s">
        <v>11</v>
      </c>
      <c r="C390" s="3" t="s">
        <v>27</v>
      </c>
      <c r="D390" s="3" t="s">
        <v>30</v>
      </c>
      <c r="E390" s="3" t="s">
        <v>14</v>
      </c>
      <c r="F390" s="3">
        <v>1000.0</v>
      </c>
      <c r="G390" s="4" t="s">
        <v>19</v>
      </c>
      <c r="H390" s="3">
        <v>1.1116715996067301</v>
      </c>
      <c r="K390" s="9" t="str">
        <f>IFERROR(__xludf.DUMMYFUNCTION("""COMPUTED_VALUE"""),"TT Off Central")</f>
        <v>TT Off Central</v>
      </c>
      <c r="L390" s="9" t="str">
        <f>IFERROR(__xludf.DUMMYFUNCTION("""COMPUTED_VALUE"""),"Elite")</f>
        <v>Elite</v>
      </c>
      <c r="M390" s="9" t="str">
        <f>IFERROR(__xludf.DUMMYFUNCTION("""COMPUTED_VALUE"""),"Unami Organic")</f>
        <v>Unami Organic</v>
      </c>
      <c r="N390" s="9" t="str">
        <f>IFERROR(__xludf.DUMMYFUNCTION("""COMPUTED_VALUE"""),"Sweetened")</f>
        <v>Sweetened</v>
      </c>
      <c r="O390" s="9" t="str">
        <f>IFERROR(__xludf.DUMMYFUNCTION("""COMPUTED_VALUE"""),"Carton")</f>
        <v>Carton</v>
      </c>
      <c r="P390" s="9">
        <f>IFERROR(__xludf.DUMMYFUNCTION("""COMPUTED_VALUE"""),1000.0)</f>
        <v>1000</v>
      </c>
      <c r="Q390" s="9" t="str">
        <f>IFERROR(__xludf.DUMMYFUNCTION("""COMPUTED_VALUE"""),"Q2'22")</f>
        <v>Q2'22</v>
      </c>
      <c r="R390" s="9">
        <f>IFERROR(__xludf.DUMMYFUNCTION("""COMPUTED_VALUE"""),0.35041932644111495)</f>
        <v>0.3504193264</v>
      </c>
    </row>
    <row r="391" ht="14.25" customHeight="1">
      <c r="A391" s="3" t="s">
        <v>24</v>
      </c>
      <c r="B391" s="3" t="s">
        <v>11</v>
      </c>
      <c r="C391" s="3" t="s">
        <v>27</v>
      </c>
      <c r="D391" s="3" t="s">
        <v>30</v>
      </c>
      <c r="E391" s="3" t="s">
        <v>14</v>
      </c>
      <c r="F391" s="3">
        <v>1000.0</v>
      </c>
      <c r="G391" s="4" t="s">
        <v>20</v>
      </c>
      <c r="H391" s="3">
        <v>1.2594572296722673</v>
      </c>
      <c r="K391" s="9" t="str">
        <f>IFERROR(__xludf.DUMMYFUNCTION("""COMPUTED_VALUE"""),"TT Off Central")</f>
        <v>TT Off Central</v>
      </c>
      <c r="L391" s="9" t="str">
        <f>IFERROR(__xludf.DUMMYFUNCTION("""COMPUTED_VALUE"""),"Elite")</f>
        <v>Elite</v>
      </c>
      <c r="M391" s="9" t="str">
        <f>IFERROR(__xludf.DUMMYFUNCTION("""COMPUTED_VALUE"""),"Unami Organic")</f>
        <v>Unami Organic</v>
      </c>
      <c r="N391" s="9" t="str">
        <f>IFERROR(__xludf.DUMMYFUNCTION("""COMPUTED_VALUE"""),"Sweetened")</f>
        <v>Sweetened</v>
      </c>
      <c r="O391" s="9" t="str">
        <f>IFERROR(__xludf.DUMMYFUNCTION("""COMPUTED_VALUE"""),"Carton")</f>
        <v>Carton</v>
      </c>
      <c r="P391" s="9">
        <f>IFERROR(__xludf.DUMMYFUNCTION("""COMPUTED_VALUE"""),1000.0)</f>
        <v>1000</v>
      </c>
      <c r="Q391" s="9" t="str">
        <f>IFERROR(__xludf.DUMMYFUNCTION("""COMPUTED_VALUE"""),"Q3'22")</f>
        <v>Q3'22</v>
      </c>
      <c r="R391" s="9">
        <f>IFERROR(__xludf.DUMMYFUNCTION("""COMPUTED_VALUE"""),0.4468833047018114)</f>
        <v>0.4468833047</v>
      </c>
    </row>
    <row r="392" ht="14.25" customHeight="1">
      <c r="A392" s="3" t="s">
        <v>24</v>
      </c>
      <c r="B392" s="3" t="s">
        <v>11</v>
      </c>
      <c r="C392" s="3" t="s">
        <v>27</v>
      </c>
      <c r="D392" s="3" t="s">
        <v>30</v>
      </c>
      <c r="E392" s="3" t="s">
        <v>14</v>
      </c>
      <c r="F392" s="3">
        <v>1000.0</v>
      </c>
      <c r="G392" s="4" t="s">
        <v>21</v>
      </c>
      <c r="H392" s="3">
        <v>1.1446717389988814</v>
      </c>
      <c r="K392" s="9" t="str">
        <f>IFERROR(__xludf.DUMMYFUNCTION("""COMPUTED_VALUE"""),"TT Off Central")</f>
        <v>TT Off Central</v>
      </c>
      <c r="L392" s="9" t="str">
        <f>IFERROR(__xludf.DUMMYFUNCTION("""COMPUTED_VALUE"""),"Elite")</f>
        <v>Elite</v>
      </c>
      <c r="M392" s="9" t="str">
        <f>IFERROR(__xludf.DUMMYFUNCTION("""COMPUTED_VALUE"""),"Unami Organic")</f>
        <v>Unami Organic</v>
      </c>
      <c r="N392" s="9" t="str">
        <f>IFERROR(__xludf.DUMMYFUNCTION("""COMPUTED_VALUE"""),"Sweetened")</f>
        <v>Sweetened</v>
      </c>
      <c r="O392" s="9" t="str">
        <f>IFERROR(__xludf.DUMMYFUNCTION("""COMPUTED_VALUE"""),"Carton")</f>
        <v>Carton</v>
      </c>
      <c r="P392" s="9">
        <f>IFERROR(__xludf.DUMMYFUNCTION("""COMPUTED_VALUE"""),1000.0)</f>
        <v>1000</v>
      </c>
      <c r="Q392" s="9" t="str">
        <f>IFERROR(__xludf.DUMMYFUNCTION("""COMPUTED_VALUE"""),"Q4'22")</f>
        <v>Q4'22</v>
      </c>
      <c r="R392" s="9">
        <f>IFERROR(__xludf.DUMMYFUNCTION("""COMPUTED_VALUE"""),0.3855076784631373)</f>
        <v>0.3855076785</v>
      </c>
    </row>
    <row r="393" ht="14.25" customHeight="1">
      <c r="A393" s="3" t="s">
        <v>24</v>
      </c>
      <c r="B393" s="3" t="s">
        <v>11</v>
      </c>
      <c r="C393" s="3" t="s">
        <v>27</v>
      </c>
      <c r="D393" s="3" t="s">
        <v>30</v>
      </c>
      <c r="E393" s="3" t="s">
        <v>14</v>
      </c>
      <c r="F393" s="3">
        <v>1000.0</v>
      </c>
      <c r="G393" s="4" t="s">
        <v>22</v>
      </c>
      <c r="H393" s="3">
        <v>0.9410087914140726</v>
      </c>
      <c r="K393" s="9" t="str">
        <f>IFERROR(__xludf.DUMMYFUNCTION("""COMPUTED_VALUE"""),"TT Off Central")</f>
        <v>TT Off Central</v>
      </c>
      <c r="L393" s="9" t="str">
        <f>IFERROR(__xludf.DUMMYFUNCTION("""COMPUTED_VALUE"""),"Elite")</f>
        <v>Elite</v>
      </c>
      <c r="M393" s="9" t="str">
        <f>IFERROR(__xludf.DUMMYFUNCTION("""COMPUTED_VALUE"""),"Unami Organic")</f>
        <v>Unami Organic</v>
      </c>
      <c r="N393" s="9" t="str">
        <f>IFERROR(__xludf.DUMMYFUNCTION("""COMPUTED_VALUE"""),"Sweetened")</f>
        <v>Sweetened</v>
      </c>
      <c r="O393" s="9" t="str">
        <f>IFERROR(__xludf.DUMMYFUNCTION("""COMPUTED_VALUE"""),"Carton")</f>
        <v>Carton</v>
      </c>
      <c r="P393" s="9">
        <f>IFERROR(__xludf.DUMMYFUNCTION("""COMPUTED_VALUE"""),1000.0)</f>
        <v>1000</v>
      </c>
      <c r="Q393" s="9" t="str">
        <f>IFERROR(__xludf.DUMMYFUNCTION("""COMPUTED_VALUE"""),"Q1'23")</f>
        <v>Q1'23</v>
      </c>
      <c r="R393" s="9">
        <f>IFERROR(__xludf.DUMMYFUNCTION("""COMPUTED_VALUE"""),0.30408727770905836)</f>
        <v>0.3040872777</v>
      </c>
    </row>
    <row r="394" ht="14.25" customHeight="1">
      <c r="A394" s="3" t="s">
        <v>24</v>
      </c>
      <c r="B394" s="3" t="s">
        <v>11</v>
      </c>
      <c r="C394" s="3" t="s">
        <v>27</v>
      </c>
      <c r="D394" s="3" t="s">
        <v>13</v>
      </c>
      <c r="E394" s="3" t="s">
        <v>14</v>
      </c>
      <c r="F394" s="3">
        <v>1000.0</v>
      </c>
      <c r="G394" s="4" t="s">
        <v>15</v>
      </c>
      <c r="H394" s="3">
        <v>1.5750308980869514</v>
      </c>
      <c r="K394" s="9" t="str">
        <f>IFERROR(__xludf.DUMMYFUNCTION("""COMPUTED_VALUE"""),"TT Off Central")</f>
        <v>TT Off Central</v>
      </c>
      <c r="L394" s="9" t="str">
        <f>IFERROR(__xludf.DUMMYFUNCTION("""COMPUTED_VALUE"""),"Elite")</f>
        <v>Elite</v>
      </c>
      <c r="M394" s="9" t="str">
        <f>IFERROR(__xludf.DUMMYFUNCTION("""COMPUTED_VALUE"""),"Unami Organic")</f>
        <v>Unami Organic</v>
      </c>
      <c r="N394" s="9" t="str">
        <f>IFERROR(__xludf.DUMMYFUNCTION("""COMPUTED_VALUE"""),"Sweetened")</f>
        <v>Sweetened</v>
      </c>
      <c r="O394" s="9" t="str">
        <f>IFERROR(__xludf.DUMMYFUNCTION("""COMPUTED_VALUE"""),"Carton")</f>
        <v>Carton</v>
      </c>
      <c r="P394" s="9">
        <f>IFERROR(__xludf.DUMMYFUNCTION("""COMPUTED_VALUE"""),1000.0)</f>
        <v>1000</v>
      </c>
      <c r="Q394" s="9" t="str">
        <f>IFERROR(__xludf.DUMMYFUNCTION("""COMPUTED_VALUE"""),"Q2'23")</f>
        <v>Q2'23</v>
      </c>
      <c r="R394" s="9">
        <f>IFERROR(__xludf.DUMMYFUNCTION("""COMPUTED_VALUE"""),0.3953792800346712)</f>
        <v>0.39537928</v>
      </c>
    </row>
    <row r="395" ht="14.25" customHeight="1">
      <c r="A395" s="3" t="s">
        <v>24</v>
      </c>
      <c r="B395" s="3" t="s">
        <v>11</v>
      </c>
      <c r="C395" s="3" t="s">
        <v>27</v>
      </c>
      <c r="D395" s="3" t="s">
        <v>13</v>
      </c>
      <c r="E395" s="3" t="s">
        <v>14</v>
      </c>
      <c r="F395" s="3">
        <v>1000.0</v>
      </c>
      <c r="G395" s="4" t="s">
        <v>16</v>
      </c>
      <c r="H395" s="3">
        <v>2.4565981284257257</v>
      </c>
      <c r="K395" s="9" t="str">
        <f>IFERROR(__xludf.DUMMYFUNCTION("""COMPUTED_VALUE"""),"TT Off Central")</f>
        <v>TT Off Central</v>
      </c>
      <c r="L395" s="9" t="str">
        <f>IFERROR(__xludf.DUMMYFUNCTION("""COMPUTED_VALUE"""),"Elite")</f>
        <v>Elite</v>
      </c>
      <c r="M395" s="9" t="str">
        <f>IFERROR(__xludf.DUMMYFUNCTION("""COMPUTED_VALUE"""),"Unami Organic")</f>
        <v>Unami Organic</v>
      </c>
      <c r="N395" s="9" t="str">
        <f>IFERROR(__xludf.DUMMYFUNCTION("""COMPUTED_VALUE"""),"Sweetened")</f>
        <v>Sweetened</v>
      </c>
      <c r="O395" s="9" t="str">
        <f>IFERROR(__xludf.DUMMYFUNCTION("""COMPUTED_VALUE"""),"Carton")</f>
        <v>Carton</v>
      </c>
      <c r="P395" s="9">
        <f>IFERROR(__xludf.DUMMYFUNCTION("""COMPUTED_VALUE"""),1000.0)</f>
        <v>1000</v>
      </c>
      <c r="Q395" s="9" t="str">
        <f>IFERROR(__xludf.DUMMYFUNCTION("""COMPUTED_VALUE"""),"Q3'23")</f>
        <v>Q3'23</v>
      </c>
      <c r="R395" s="9">
        <f>IFERROR(__xludf.DUMMYFUNCTION("""COMPUTED_VALUE"""),0.4214832019495426)</f>
        <v>0.4214832019</v>
      </c>
    </row>
    <row r="396" ht="14.25" customHeight="1">
      <c r="A396" s="3" t="s">
        <v>24</v>
      </c>
      <c r="B396" s="3" t="s">
        <v>11</v>
      </c>
      <c r="C396" s="3" t="s">
        <v>27</v>
      </c>
      <c r="D396" s="3" t="s">
        <v>13</v>
      </c>
      <c r="E396" s="3" t="s">
        <v>14</v>
      </c>
      <c r="F396" s="3">
        <v>1000.0</v>
      </c>
      <c r="G396" s="4" t="s">
        <v>17</v>
      </c>
      <c r="H396" s="3">
        <v>2.1340869431996037</v>
      </c>
      <c r="K396" s="9" t="str">
        <f>IFERROR(__xludf.DUMMYFUNCTION("""COMPUTED_VALUE"""),"TT Off Central")</f>
        <v>TT Off Central</v>
      </c>
      <c r="L396" s="9" t="str">
        <f>IFERROR(__xludf.DUMMYFUNCTION("""COMPUTED_VALUE"""),"Elite")</f>
        <v>Elite</v>
      </c>
      <c r="M396" s="9" t="str">
        <f>IFERROR(__xludf.DUMMYFUNCTION("""COMPUTED_VALUE"""),"Unami Organic")</f>
        <v>Unami Organic</v>
      </c>
      <c r="N396" s="9" t="str">
        <f>IFERROR(__xludf.DUMMYFUNCTION("""COMPUTED_VALUE"""),"Sweetened")</f>
        <v>Sweetened</v>
      </c>
      <c r="O396" s="9" t="str">
        <f>IFERROR(__xludf.DUMMYFUNCTION("""COMPUTED_VALUE"""),"Carton")</f>
        <v>Carton</v>
      </c>
      <c r="P396" s="9">
        <f>IFERROR(__xludf.DUMMYFUNCTION("""COMPUTED_VALUE"""),1000.0)</f>
        <v>1000</v>
      </c>
      <c r="Q396" s="9" t="str">
        <f>IFERROR(__xludf.DUMMYFUNCTION("""COMPUTED_VALUE"""),"Q4'23")</f>
        <v>Q4'23</v>
      </c>
      <c r="R396" s="9">
        <f>IFERROR(__xludf.DUMMYFUNCTION("""COMPUTED_VALUE"""),0.3665820434746191)</f>
        <v>0.3665820435</v>
      </c>
    </row>
    <row r="397" ht="14.25" customHeight="1">
      <c r="A397" s="3" t="s">
        <v>24</v>
      </c>
      <c r="B397" s="3" t="s">
        <v>11</v>
      </c>
      <c r="C397" s="3" t="s">
        <v>27</v>
      </c>
      <c r="D397" s="3" t="s">
        <v>13</v>
      </c>
      <c r="E397" s="3" t="s">
        <v>14</v>
      </c>
      <c r="F397" s="3">
        <v>1000.0</v>
      </c>
      <c r="G397" s="4" t="s">
        <v>18</v>
      </c>
      <c r="H397" s="3">
        <v>1.5432107553669856</v>
      </c>
      <c r="K397" s="9" t="str">
        <f>IFERROR(__xludf.DUMMYFUNCTION("""COMPUTED_VALUE"""),"TT Off Central")</f>
        <v>TT Off Central</v>
      </c>
      <c r="L397" s="9" t="str">
        <f>IFERROR(__xludf.DUMMYFUNCTION("""COMPUTED_VALUE"""),"Elite")</f>
        <v>Elite</v>
      </c>
      <c r="M397" s="9" t="str">
        <f>IFERROR(__xludf.DUMMYFUNCTION("""COMPUTED_VALUE"""),"Unami Organic")</f>
        <v>Unami Organic</v>
      </c>
      <c r="N397" s="9" t="str">
        <f>IFERROR(__xludf.DUMMYFUNCTION("""COMPUTED_VALUE"""),"Sweetened")</f>
        <v>Sweetened</v>
      </c>
      <c r="O397" s="9" t="str">
        <f>IFERROR(__xludf.DUMMYFUNCTION("""COMPUTED_VALUE"""),"Carton")</f>
        <v>Carton</v>
      </c>
      <c r="P397" s="9">
        <f>IFERROR(__xludf.DUMMYFUNCTION("""COMPUTED_VALUE"""),110.0)</f>
        <v>110</v>
      </c>
      <c r="Q397" s="9" t="str">
        <f>IFERROR(__xludf.DUMMYFUNCTION("""COMPUTED_VALUE"""),"Q1'22")</f>
        <v>Q1'22</v>
      </c>
      <c r="R397" s="9">
        <f>IFERROR(__xludf.DUMMYFUNCTION("""COMPUTED_VALUE"""),6.40127778986306)</f>
        <v>6.40127779</v>
      </c>
    </row>
    <row r="398" ht="14.25" customHeight="1">
      <c r="A398" s="3" t="s">
        <v>24</v>
      </c>
      <c r="B398" s="3" t="s">
        <v>11</v>
      </c>
      <c r="C398" s="3" t="s">
        <v>27</v>
      </c>
      <c r="D398" s="3" t="s">
        <v>13</v>
      </c>
      <c r="E398" s="3" t="s">
        <v>14</v>
      </c>
      <c r="F398" s="3">
        <v>1000.0</v>
      </c>
      <c r="G398" s="4" t="s">
        <v>19</v>
      </c>
      <c r="H398" s="3">
        <v>1.5005638241066575</v>
      </c>
      <c r="K398" s="9" t="str">
        <f>IFERROR(__xludf.DUMMYFUNCTION("""COMPUTED_VALUE"""),"TT Off Central")</f>
        <v>TT Off Central</v>
      </c>
      <c r="L398" s="9" t="str">
        <f>IFERROR(__xludf.DUMMYFUNCTION("""COMPUTED_VALUE"""),"Elite")</f>
        <v>Elite</v>
      </c>
      <c r="M398" s="9" t="str">
        <f>IFERROR(__xludf.DUMMYFUNCTION("""COMPUTED_VALUE"""),"Unami Organic")</f>
        <v>Unami Organic</v>
      </c>
      <c r="N398" s="9" t="str">
        <f>IFERROR(__xludf.DUMMYFUNCTION("""COMPUTED_VALUE"""),"Sweetened")</f>
        <v>Sweetened</v>
      </c>
      <c r="O398" s="9" t="str">
        <f>IFERROR(__xludf.DUMMYFUNCTION("""COMPUTED_VALUE"""),"Carton")</f>
        <v>Carton</v>
      </c>
      <c r="P398" s="9">
        <f>IFERROR(__xludf.DUMMYFUNCTION("""COMPUTED_VALUE"""),110.0)</f>
        <v>110</v>
      </c>
      <c r="Q398" s="9" t="str">
        <f>IFERROR(__xludf.DUMMYFUNCTION("""COMPUTED_VALUE"""),"Q2'22")</f>
        <v>Q2'22</v>
      </c>
      <c r="R398" s="9">
        <f>IFERROR(__xludf.DUMMYFUNCTION("""COMPUTED_VALUE"""),6.358916215167389)</f>
        <v>6.358916215</v>
      </c>
    </row>
    <row r="399" ht="14.25" customHeight="1">
      <c r="A399" s="3" t="s">
        <v>24</v>
      </c>
      <c r="B399" s="3" t="s">
        <v>11</v>
      </c>
      <c r="C399" s="3" t="s">
        <v>27</v>
      </c>
      <c r="D399" s="3" t="s">
        <v>13</v>
      </c>
      <c r="E399" s="3" t="s">
        <v>14</v>
      </c>
      <c r="F399" s="3">
        <v>1000.0</v>
      </c>
      <c r="G399" s="4" t="s">
        <v>20</v>
      </c>
      <c r="H399" s="3">
        <v>2.186576652430338</v>
      </c>
      <c r="K399" s="9" t="str">
        <f>IFERROR(__xludf.DUMMYFUNCTION("""COMPUTED_VALUE"""),"TT Off Central")</f>
        <v>TT Off Central</v>
      </c>
      <c r="L399" s="9" t="str">
        <f>IFERROR(__xludf.DUMMYFUNCTION("""COMPUTED_VALUE"""),"Elite")</f>
        <v>Elite</v>
      </c>
      <c r="M399" s="9" t="str">
        <f>IFERROR(__xludf.DUMMYFUNCTION("""COMPUTED_VALUE"""),"Unami Organic")</f>
        <v>Unami Organic</v>
      </c>
      <c r="N399" s="9" t="str">
        <f>IFERROR(__xludf.DUMMYFUNCTION("""COMPUTED_VALUE"""),"Sweetened")</f>
        <v>Sweetened</v>
      </c>
      <c r="O399" s="9" t="str">
        <f>IFERROR(__xludf.DUMMYFUNCTION("""COMPUTED_VALUE"""),"Carton")</f>
        <v>Carton</v>
      </c>
      <c r="P399" s="9">
        <f>IFERROR(__xludf.DUMMYFUNCTION("""COMPUTED_VALUE"""),110.0)</f>
        <v>110</v>
      </c>
      <c r="Q399" s="9" t="str">
        <f>IFERROR(__xludf.DUMMYFUNCTION("""COMPUTED_VALUE"""),"Q3'22")</f>
        <v>Q3'22</v>
      </c>
      <c r="R399" s="9">
        <f>IFERROR(__xludf.DUMMYFUNCTION("""COMPUTED_VALUE"""),7.7785288465282445)</f>
        <v>7.778528847</v>
      </c>
    </row>
    <row r="400" ht="14.25" customHeight="1">
      <c r="A400" s="3" t="s">
        <v>24</v>
      </c>
      <c r="B400" s="3" t="s">
        <v>11</v>
      </c>
      <c r="C400" s="3" t="s">
        <v>27</v>
      </c>
      <c r="D400" s="3" t="s">
        <v>13</v>
      </c>
      <c r="E400" s="3" t="s">
        <v>14</v>
      </c>
      <c r="F400" s="3">
        <v>1000.0</v>
      </c>
      <c r="G400" s="4" t="s">
        <v>21</v>
      </c>
      <c r="H400" s="3">
        <v>1.7956346955750373</v>
      </c>
      <c r="K400" s="9" t="str">
        <f>IFERROR(__xludf.DUMMYFUNCTION("""COMPUTED_VALUE"""),"TT Off Central")</f>
        <v>TT Off Central</v>
      </c>
      <c r="L400" s="9" t="str">
        <f>IFERROR(__xludf.DUMMYFUNCTION("""COMPUTED_VALUE"""),"Elite")</f>
        <v>Elite</v>
      </c>
      <c r="M400" s="9" t="str">
        <f>IFERROR(__xludf.DUMMYFUNCTION("""COMPUTED_VALUE"""),"Unami Organic")</f>
        <v>Unami Organic</v>
      </c>
      <c r="N400" s="9" t="str">
        <f>IFERROR(__xludf.DUMMYFUNCTION("""COMPUTED_VALUE"""),"Sweetened")</f>
        <v>Sweetened</v>
      </c>
      <c r="O400" s="9" t="str">
        <f>IFERROR(__xludf.DUMMYFUNCTION("""COMPUTED_VALUE"""),"Carton")</f>
        <v>Carton</v>
      </c>
      <c r="P400" s="9">
        <f>IFERROR(__xludf.DUMMYFUNCTION("""COMPUTED_VALUE"""),110.0)</f>
        <v>110</v>
      </c>
      <c r="Q400" s="9" t="str">
        <f>IFERROR(__xludf.DUMMYFUNCTION("""COMPUTED_VALUE"""),"Q4'22")</f>
        <v>Q4'22</v>
      </c>
      <c r="R400" s="9">
        <f>IFERROR(__xludf.DUMMYFUNCTION("""COMPUTED_VALUE"""),8.90345124582585)</f>
        <v>8.903451246</v>
      </c>
    </row>
    <row r="401" ht="14.25" customHeight="1">
      <c r="A401" s="3" t="s">
        <v>24</v>
      </c>
      <c r="B401" s="3" t="s">
        <v>11</v>
      </c>
      <c r="C401" s="3" t="s">
        <v>27</v>
      </c>
      <c r="D401" s="3" t="s">
        <v>13</v>
      </c>
      <c r="E401" s="3" t="s">
        <v>14</v>
      </c>
      <c r="F401" s="3">
        <v>1000.0</v>
      </c>
      <c r="G401" s="4" t="s">
        <v>22</v>
      </c>
      <c r="H401" s="3">
        <v>1.3160904796019475</v>
      </c>
      <c r="K401" s="9" t="str">
        <f>IFERROR(__xludf.DUMMYFUNCTION("""COMPUTED_VALUE"""),"TT Off Central")</f>
        <v>TT Off Central</v>
      </c>
      <c r="L401" s="9" t="str">
        <f>IFERROR(__xludf.DUMMYFUNCTION("""COMPUTED_VALUE"""),"Elite")</f>
        <v>Elite</v>
      </c>
      <c r="M401" s="9" t="str">
        <f>IFERROR(__xludf.DUMMYFUNCTION("""COMPUTED_VALUE"""),"Unami Organic")</f>
        <v>Unami Organic</v>
      </c>
      <c r="N401" s="9" t="str">
        <f>IFERROR(__xludf.DUMMYFUNCTION("""COMPUTED_VALUE"""),"Sweetened")</f>
        <v>Sweetened</v>
      </c>
      <c r="O401" s="9" t="str">
        <f>IFERROR(__xludf.DUMMYFUNCTION("""COMPUTED_VALUE"""),"Carton")</f>
        <v>Carton</v>
      </c>
      <c r="P401" s="9">
        <f>IFERROR(__xludf.DUMMYFUNCTION("""COMPUTED_VALUE"""),110.0)</f>
        <v>110</v>
      </c>
      <c r="Q401" s="9" t="str">
        <f>IFERROR(__xludf.DUMMYFUNCTION("""COMPUTED_VALUE"""),"Q1'23")</f>
        <v>Q1'23</v>
      </c>
      <c r="R401" s="9">
        <f>IFERROR(__xludf.DUMMYFUNCTION("""COMPUTED_VALUE"""),8.448606547611542)</f>
        <v>8.448606548</v>
      </c>
    </row>
    <row r="402" ht="14.25" customHeight="1">
      <c r="A402" s="3" t="s">
        <v>24</v>
      </c>
      <c r="B402" s="3" t="s">
        <v>11</v>
      </c>
      <c r="C402" s="3" t="s">
        <v>27</v>
      </c>
      <c r="D402" s="3" t="s">
        <v>13</v>
      </c>
      <c r="E402" s="3" t="s">
        <v>14</v>
      </c>
      <c r="F402" s="3">
        <v>110.0</v>
      </c>
      <c r="G402" s="4" t="s">
        <v>15</v>
      </c>
      <c r="H402" s="3">
        <v>3.1725202652491733</v>
      </c>
      <c r="K402" s="9" t="str">
        <f>IFERROR(__xludf.DUMMYFUNCTION("""COMPUTED_VALUE"""),"TT Off Central")</f>
        <v>TT Off Central</v>
      </c>
      <c r="L402" s="9" t="str">
        <f>IFERROR(__xludf.DUMMYFUNCTION("""COMPUTED_VALUE"""),"Elite")</f>
        <v>Elite</v>
      </c>
      <c r="M402" s="9" t="str">
        <f>IFERROR(__xludf.DUMMYFUNCTION("""COMPUTED_VALUE"""),"Unami Organic")</f>
        <v>Unami Organic</v>
      </c>
      <c r="N402" s="9" t="str">
        <f>IFERROR(__xludf.DUMMYFUNCTION("""COMPUTED_VALUE"""),"Sweetened")</f>
        <v>Sweetened</v>
      </c>
      <c r="O402" s="9" t="str">
        <f>IFERROR(__xludf.DUMMYFUNCTION("""COMPUTED_VALUE"""),"Carton")</f>
        <v>Carton</v>
      </c>
      <c r="P402" s="9">
        <f>IFERROR(__xludf.DUMMYFUNCTION("""COMPUTED_VALUE"""),110.0)</f>
        <v>110</v>
      </c>
      <c r="Q402" s="9" t="str">
        <f>IFERROR(__xludf.DUMMYFUNCTION("""COMPUTED_VALUE"""),"Q2'23")</f>
        <v>Q2'23</v>
      </c>
      <c r="R402" s="9">
        <f>IFERROR(__xludf.DUMMYFUNCTION("""COMPUTED_VALUE"""),9.542587808281604)</f>
        <v>9.542587808</v>
      </c>
    </row>
    <row r="403" ht="14.25" customHeight="1">
      <c r="A403" s="3" t="s">
        <v>24</v>
      </c>
      <c r="B403" s="3" t="s">
        <v>11</v>
      </c>
      <c r="C403" s="3" t="s">
        <v>27</v>
      </c>
      <c r="D403" s="3" t="s">
        <v>13</v>
      </c>
      <c r="E403" s="3" t="s">
        <v>14</v>
      </c>
      <c r="F403" s="3">
        <v>110.0</v>
      </c>
      <c r="G403" s="4" t="s">
        <v>16</v>
      </c>
      <c r="H403" s="3">
        <v>3.9097560330421866</v>
      </c>
      <c r="K403" s="9" t="str">
        <f>IFERROR(__xludf.DUMMYFUNCTION("""COMPUTED_VALUE"""),"TT Off Central")</f>
        <v>TT Off Central</v>
      </c>
      <c r="L403" s="9" t="str">
        <f>IFERROR(__xludf.DUMMYFUNCTION("""COMPUTED_VALUE"""),"Elite")</f>
        <v>Elite</v>
      </c>
      <c r="M403" s="9" t="str">
        <f>IFERROR(__xludf.DUMMYFUNCTION("""COMPUTED_VALUE"""),"Unami Organic")</f>
        <v>Unami Organic</v>
      </c>
      <c r="N403" s="9" t="str">
        <f>IFERROR(__xludf.DUMMYFUNCTION("""COMPUTED_VALUE"""),"Sweetened")</f>
        <v>Sweetened</v>
      </c>
      <c r="O403" s="9" t="str">
        <f>IFERROR(__xludf.DUMMYFUNCTION("""COMPUTED_VALUE"""),"Carton")</f>
        <v>Carton</v>
      </c>
      <c r="P403" s="9">
        <f>IFERROR(__xludf.DUMMYFUNCTION("""COMPUTED_VALUE"""),110.0)</f>
        <v>110</v>
      </c>
      <c r="Q403" s="9" t="str">
        <f>IFERROR(__xludf.DUMMYFUNCTION("""COMPUTED_VALUE"""),"Q3'23")</f>
        <v>Q3'23</v>
      </c>
      <c r="R403" s="9">
        <f>IFERROR(__xludf.DUMMYFUNCTION("""COMPUTED_VALUE"""),10.514008232656327)</f>
        <v>10.51400823</v>
      </c>
    </row>
    <row r="404" ht="14.25" customHeight="1">
      <c r="A404" s="3" t="s">
        <v>24</v>
      </c>
      <c r="B404" s="3" t="s">
        <v>11</v>
      </c>
      <c r="C404" s="3" t="s">
        <v>27</v>
      </c>
      <c r="D404" s="3" t="s">
        <v>13</v>
      </c>
      <c r="E404" s="3" t="s">
        <v>14</v>
      </c>
      <c r="F404" s="3">
        <v>110.0</v>
      </c>
      <c r="G404" s="4" t="s">
        <v>17</v>
      </c>
      <c r="H404" s="3">
        <v>4.138243654175463</v>
      </c>
      <c r="K404" s="9" t="str">
        <f>IFERROR(__xludf.DUMMYFUNCTION("""COMPUTED_VALUE"""),"TT Off Central")</f>
        <v>TT Off Central</v>
      </c>
      <c r="L404" s="9" t="str">
        <f>IFERROR(__xludf.DUMMYFUNCTION("""COMPUTED_VALUE"""),"Elite")</f>
        <v>Elite</v>
      </c>
      <c r="M404" s="9" t="str">
        <f>IFERROR(__xludf.DUMMYFUNCTION("""COMPUTED_VALUE"""),"Unami Organic")</f>
        <v>Unami Organic</v>
      </c>
      <c r="N404" s="9" t="str">
        <f>IFERROR(__xludf.DUMMYFUNCTION("""COMPUTED_VALUE"""),"Sweetened")</f>
        <v>Sweetened</v>
      </c>
      <c r="O404" s="9" t="str">
        <f>IFERROR(__xludf.DUMMYFUNCTION("""COMPUTED_VALUE"""),"Carton")</f>
        <v>Carton</v>
      </c>
      <c r="P404" s="9">
        <f>IFERROR(__xludf.DUMMYFUNCTION("""COMPUTED_VALUE"""),110.0)</f>
        <v>110</v>
      </c>
      <c r="Q404" s="9" t="str">
        <f>IFERROR(__xludf.DUMMYFUNCTION("""COMPUTED_VALUE"""),"Q4'23")</f>
        <v>Q4'23</v>
      </c>
      <c r="R404" s="9">
        <f>IFERROR(__xludf.DUMMYFUNCTION("""COMPUTED_VALUE"""),11.135354105116155)</f>
        <v>11.13535411</v>
      </c>
    </row>
    <row r="405" ht="14.25" customHeight="1">
      <c r="A405" s="3" t="s">
        <v>24</v>
      </c>
      <c r="B405" s="3" t="s">
        <v>11</v>
      </c>
      <c r="C405" s="3" t="s">
        <v>27</v>
      </c>
      <c r="D405" s="3" t="s">
        <v>13</v>
      </c>
      <c r="E405" s="3" t="s">
        <v>14</v>
      </c>
      <c r="F405" s="3">
        <v>110.0</v>
      </c>
      <c r="G405" s="4" t="s">
        <v>18</v>
      </c>
      <c r="H405" s="3">
        <v>3.8907376031436423</v>
      </c>
      <c r="K405" s="9" t="str">
        <f>IFERROR(__xludf.DUMMYFUNCTION("""COMPUTED_VALUE"""),"TT Off Central")</f>
        <v>TT Off Central</v>
      </c>
      <c r="L405" s="9" t="str">
        <f>IFERROR(__xludf.DUMMYFUNCTION("""COMPUTED_VALUE"""),"Elite")</f>
        <v>Elite</v>
      </c>
      <c r="M405" s="9" t="str">
        <f>IFERROR(__xludf.DUMMYFUNCTION("""COMPUTED_VALUE"""),"Unami Organic")</f>
        <v>Unami Organic</v>
      </c>
      <c r="N405" s="9" t="str">
        <f>IFERROR(__xludf.DUMMYFUNCTION("""COMPUTED_VALUE"""),"Sweetened")</f>
        <v>Sweetened</v>
      </c>
      <c r="O405" s="9" t="str">
        <f>IFERROR(__xludf.DUMMYFUNCTION("""COMPUTED_VALUE"""),"Carton")</f>
        <v>Carton</v>
      </c>
      <c r="P405" s="9">
        <f>IFERROR(__xludf.DUMMYFUNCTION("""COMPUTED_VALUE"""),180.0)</f>
        <v>180</v>
      </c>
      <c r="Q405" s="9" t="str">
        <f>IFERROR(__xludf.DUMMYFUNCTION("""COMPUTED_VALUE"""),"Q1'22")</f>
        <v>Q1'22</v>
      </c>
      <c r="R405" s="9">
        <f>IFERROR(__xludf.DUMMYFUNCTION("""COMPUTED_VALUE"""),7.487283942387048)</f>
        <v>7.487283942</v>
      </c>
    </row>
    <row r="406" ht="14.25" customHeight="1">
      <c r="A406" s="3" t="s">
        <v>24</v>
      </c>
      <c r="B406" s="3" t="s">
        <v>11</v>
      </c>
      <c r="C406" s="3" t="s">
        <v>27</v>
      </c>
      <c r="D406" s="3" t="s">
        <v>13</v>
      </c>
      <c r="E406" s="3" t="s">
        <v>14</v>
      </c>
      <c r="F406" s="3">
        <v>110.0</v>
      </c>
      <c r="G406" s="4" t="s">
        <v>19</v>
      </c>
      <c r="H406" s="3">
        <v>4.151980191628631</v>
      </c>
      <c r="K406" s="9" t="str">
        <f>IFERROR(__xludf.DUMMYFUNCTION("""COMPUTED_VALUE"""),"TT Off Central")</f>
        <v>TT Off Central</v>
      </c>
      <c r="L406" s="9" t="str">
        <f>IFERROR(__xludf.DUMMYFUNCTION("""COMPUTED_VALUE"""),"Elite")</f>
        <v>Elite</v>
      </c>
      <c r="M406" s="9" t="str">
        <f>IFERROR(__xludf.DUMMYFUNCTION("""COMPUTED_VALUE"""),"Unami Organic")</f>
        <v>Unami Organic</v>
      </c>
      <c r="N406" s="9" t="str">
        <f>IFERROR(__xludf.DUMMYFUNCTION("""COMPUTED_VALUE"""),"Sweetened")</f>
        <v>Sweetened</v>
      </c>
      <c r="O406" s="9" t="str">
        <f>IFERROR(__xludf.DUMMYFUNCTION("""COMPUTED_VALUE"""),"Carton")</f>
        <v>Carton</v>
      </c>
      <c r="P406" s="9">
        <f>IFERROR(__xludf.DUMMYFUNCTION("""COMPUTED_VALUE"""),180.0)</f>
        <v>180</v>
      </c>
      <c r="Q406" s="9" t="str">
        <f>IFERROR(__xludf.DUMMYFUNCTION("""COMPUTED_VALUE"""),"Q2'22")</f>
        <v>Q2'22</v>
      </c>
      <c r="R406" s="9">
        <f>IFERROR(__xludf.DUMMYFUNCTION("""COMPUTED_VALUE"""),7.600438484070427)</f>
        <v>7.600438484</v>
      </c>
    </row>
    <row r="407" ht="14.25" customHeight="1">
      <c r="A407" s="3" t="s">
        <v>24</v>
      </c>
      <c r="B407" s="3" t="s">
        <v>11</v>
      </c>
      <c r="C407" s="3" t="s">
        <v>27</v>
      </c>
      <c r="D407" s="3" t="s">
        <v>13</v>
      </c>
      <c r="E407" s="3" t="s">
        <v>14</v>
      </c>
      <c r="F407" s="3">
        <v>110.0</v>
      </c>
      <c r="G407" s="4" t="s">
        <v>20</v>
      </c>
      <c r="H407" s="3">
        <v>4.441596089261197</v>
      </c>
      <c r="K407" s="9" t="str">
        <f>IFERROR(__xludf.DUMMYFUNCTION("""COMPUTED_VALUE"""),"TT Off Central")</f>
        <v>TT Off Central</v>
      </c>
      <c r="L407" s="9" t="str">
        <f>IFERROR(__xludf.DUMMYFUNCTION("""COMPUTED_VALUE"""),"Elite")</f>
        <v>Elite</v>
      </c>
      <c r="M407" s="9" t="str">
        <f>IFERROR(__xludf.DUMMYFUNCTION("""COMPUTED_VALUE"""),"Unami Organic")</f>
        <v>Unami Organic</v>
      </c>
      <c r="N407" s="9" t="str">
        <f>IFERROR(__xludf.DUMMYFUNCTION("""COMPUTED_VALUE"""),"Sweetened")</f>
        <v>Sweetened</v>
      </c>
      <c r="O407" s="9" t="str">
        <f>IFERROR(__xludf.DUMMYFUNCTION("""COMPUTED_VALUE"""),"Carton")</f>
        <v>Carton</v>
      </c>
      <c r="P407" s="9">
        <f>IFERROR(__xludf.DUMMYFUNCTION("""COMPUTED_VALUE"""),180.0)</f>
        <v>180</v>
      </c>
      <c r="Q407" s="9" t="str">
        <f>IFERROR(__xludf.DUMMYFUNCTION("""COMPUTED_VALUE"""),"Q3'22")</f>
        <v>Q3'22</v>
      </c>
      <c r="R407" s="9">
        <f>IFERROR(__xludf.DUMMYFUNCTION("""COMPUTED_VALUE"""),9.101166216376356)</f>
        <v>9.101166216</v>
      </c>
    </row>
    <row r="408" ht="14.25" customHeight="1">
      <c r="A408" s="3" t="s">
        <v>24</v>
      </c>
      <c r="B408" s="3" t="s">
        <v>11</v>
      </c>
      <c r="C408" s="3" t="s">
        <v>27</v>
      </c>
      <c r="D408" s="3" t="s">
        <v>13</v>
      </c>
      <c r="E408" s="3" t="s">
        <v>14</v>
      </c>
      <c r="F408" s="3">
        <v>110.0</v>
      </c>
      <c r="G408" s="4" t="s">
        <v>21</v>
      </c>
      <c r="H408" s="3">
        <v>4.484887799554911</v>
      </c>
      <c r="K408" s="9" t="str">
        <f>IFERROR(__xludf.DUMMYFUNCTION("""COMPUTED_VALUE"""),"TT Off Central")</f>
        <v>TT Off Central</v>
      </c>
      <c r="L408" s="9" t="str">
        <f>IFERROR(__xludf.DUMMYFUNCTION("""COMPUTED_VALUE"""),"Elite")</f>
        <v>Elite</v>
      </c>
      <c r="M408" s="9" t="str">
        <f>IFERROR(__xludf.DUMMYFUNCTION("""COMPUTED_VALUE"""),"Unami Organic")</f>
        <v>Unami Organic</v>
      </c>
      <c r="N408" s="9" t="str">
        <f>IFERROR(__xludf.DUMMYFUNCTION("""COMPUTED_VALUE"""),"Sweetened")</f>
        <v>Sweetened</v>
      </c>
      <c r="O408" s="9" t="str">
        <f>IFERROR(__xludf.DUMMYFUNCTION("""COMPUTED_VALUE"""),"Carton")</f>
        <v>Carton</v>
      </c>
      <c r="P408" s="9">
        <f>IFERROR(__xludf.DUMMYFUNCTION("""COMPUTED_VALUE"""),180.0)</f>
        <v>180</v>
      </c>
      <c r="Q408" s="9" t="str">
        <f>IFERROR(__xludf.DUMMYFUNCTION("""COMPUTED_VALUE"""),"Q4'22")</f>
        <v>Q4'22</v>
      </c>
      <c r="R408" s="9">
        <f>IFERROR(__xludf.DUMMYFUNCTION("""COMPUTED_VALUE"""),9.675799214865094)</f>
        <v>9.675799215</v>
      </c>
    </row>
    <row r="409" ht="14.25" customHeight="1">
      <c r="A409" s="3" t="s">
        <v>24</v>
      </c>
      <c r="B409" s="3" t="s">
        <v>11</v>
      </c>
      <c r="C409" s="3" t="s">
        <v>27</v>
      </c>
      <c r="D409" s="3" t="s">
        <v>13</v>
      </c>
      <c r="E409" s="3" t="s">
        <v>14</v>
      </c>
      <c r="F409" s="3">
        <v>110.0</v>
      </c>
      <c r="G409" s="4" t="s">
        <v>22</v>
      </c>
      <c r="H409" s="3">
        <v>5.4911753708662765</v>
      </c>
      <c r="K409" s="9" t="str">
        <f>IFERROR(__xludf.DUMMYFUNCTION("""COMPUTED_VALUE"""),"TT Off Central")</f>
        <v>TT Off Central</v>
      </c>
      <c r="L409" s="9" t="str">
        <f>IFERROR(__xludf.DUMMYFUNCTION("""COMPUTED_VALUE"""),"Elite")</f>
        <v>Elite</v>
      </c>
      <c r="M409" s="9" t="str">
        <f>IFERROR(__xludf.DUMMYFUNCTION("""COMPUTED_VALUE"""),"Unami Organic")</f>
        <v>Unami Organic</v>
      </c>
      <c r="N409" s="9" t="str">
        <f>IFERROR(__xludf.DUMMYFUNCTION("""COMPUTED_VALUE"""),"Sweetened")</f>
        <v>Sweetened</v>
      </c>
      <c r="O409" s="9" t="str">
        <f>IFERROR(__xludf.DUMMYFUNCTION("""COMPUTED_VALUE"""),"Carton")</f>
        <v>Carton</v>
      </c>
      <c r="P409" s="9">
        <f>IFERROR(__xludf.DUMMYFUNCTION("""COMPUTED_VALUE"""),180.0)</f>
        <v>180</v>
      </c>
      <c r="Q409" s="9" t="str">
        <f>IFERROR(__xludf.DUMMYFUNCTION("""COMPUTED_VALUE"""),"Q1'23")</f>
        <v>Q1'23</v>
      </c>
      <c r="R409" s="9">
        <f>IFERROR(__xludf.DUMMYFUNCTION("""COMPUTED_VALUE"""),9.498363623010912)</f>
        <v>9.498363623</v>
      </c>
    </row>
    <row r="410" ht="14.25" customHeight="1">
      <c r="A410" s="3" t="s">
        <v>24</v>
      </c>
      <c r="B410" s="3" t="s">
        <v>11</v>
      </c>
      <c r="C410" s="3" t="s">
        <v>27</v>
      </c>
      <c r="D410" s="3" t="s">
        <v>13</v>
      </c>
      <c r="E410" s="3" t="s">
        <v>14</v>
      </c>
      <c r="F410" s="3">
        <v>180.0</v>
      </c>
      <c r="G410" s="4" t="s">
        <v>15</v>
      </c>
      <c r="H410" s="3">
        <v>4.451487461635556</v>
      </c>
      <c r="K410" s="9" t="str">
        <f>IFERROR(__xludf.DUMMYFUNCTION("""COMPUTED_VALUE"""),"TT Off Central")</f>
        <v>TT Off Central</v>
      </c>
      <c r="L410" s="9" t="str">
        <f>IFERROR(__xludf.DUMMYFUNCTION("""COMPUTED_VALUE"""),"Elite")</f>
        <v>Elite</v>
      </c>
      <c r="M410" s="9" t="str">
        <f>IFERROR(__xludf.DUMMYFUNCTION("""COMPUTED_VALUE"""),"Unami Organic")</f>
        <v>Unami Organic</v>
      </c>
      <c r="N410" s="9" t="str">
        <f>IFERROR(__xludf.DUMMYFUNCTION("""COMPUTED_VALUE"""),"Sweetened")</f>
        <v>Sweetened</v>
      </c>
      <c r="O410" s="9" t="str">
        <f>IFERROR(__xludf.DUMMYFUNCTION("""COMPUTED_VALUE"""),"Carton")</f>
        <v>Carton</v>
      </c>
      <c r="P410" s="9">
        <f>IFERROR(__xludf.DUMMYFUNCTION("""COMPUTED_VALUE"""),180.0)</f>
        <v>180</v>
      </c>
      <c r="Q410" s="9" t="str">
        <f>IFERROR(__xludf.DUMMYFUNCTION("""COMPUTED_VALUE"""),"Q2'23")</f>
        <v>Q2'23</v>
      </c>
      <c r="R410" s="9">
        <f>IFERROR(__xludf.DUMMYFUNCTION("""COMPUTED_VALUE"""),10.409573269616747)</f>
        <v>10.40957327</v>
      </c>
    </row>
    <row r="411" ht="14.25" customHeight="1">
      <c r="A411" s="3" t="s">
        <v>24</v>
      </c>
      <c r="B411" s="3" t="s">
        <v>11</v>
      </c>
      <c r="C411" s="3" t="s">
        <v>27</v>
      </c>
      <c r="D411" s="3" t="s">
        <v>13</v>
      </c>
      <c r="E411" s="3" t="s">
        <v>14</v>
      </c>
      <c r="F411" s="3">
        <v>180.0</v>
      </c>
      <c r="G411" s="4" t="s">
        <v>16</v>
      </c>
      <c r="H411" s="3">
        <v>4.657111868649335</v>
      </c>
      <c r="K411" s="9" t="str">
        <f>IFERROR(__xludf.DUMMYFUNCTION("""COMPUTED_VALUE"""),"TT Off Central")</f>
        <v>TT Off Central</v>
      </c>
      <c r="L411" s="9" t="str">
        <f>IFERROR(__xludf.DUMMYFUNCTION("""COMPUTED_VALUE"""),"Elite")</f>
        <v>Elite</v>
      </c>
      <c r="M411" s="9" t="str">
        <f>IFERROR(__xludf.DUMMYFUNCTION("""COMPUTED_VALUE"""),"Unami Organic")</f>
        <v>Unami Organic</v>
      </c>
      <c r="N411" s="9" t="str">
        <f>IFERROR(__xludf.DUMMYFUNCTION("""COMPUTED_VALUE"""),"Sweetened")</f>
        <v>Sweetened</v>
      </c>
      <c r="O411" s="9" t="str">
        <f>IFERROR(__xludf.DUMMYFUNCTION("""COMPUTED_VALUE"""),"Carton")</f>
        <v>Carton</v>
      </c>
      <c r="P411" s="9">
        <f>IFERROR(__xludf.DUMMYFUNCTION("""COMPUTED_VALUE"""),180.0)</f>
        <v>180</v>
      </c>
      <c r="Q411" s="9" t="str">
        <f>IFERROR(__xludf.DUMMYFUNCTION("""COMPUTED_VALUE"""),"Q3'23")</f>
        <v>Q3'23</v>
      </c>
      <c r="R411" s="9">
        <f>IFERROR(__xludf.DUMMYFUNCTION("""COMPUTED_VALUE"""),11.26987905076151)</f>
        <v>11.26987905</v>
      </c>
    </row>
    <row r="412" ht="14.25" customHeight="1">
      <c r="A412" s="3" t="s">
        <v>24</v>
      </c>
      <c r="B412" s="3" t="s">
        <v>11</v>
      </c>
      <c r="C412" s="3" t="s">
        <v>27</v>
      </c>
      <c r="D412" s="3" t="s">
        <v>13</v>
      </c>
      <c r="E412" s="3" t="s">
        <v>14</v>
      </c>
      <c r="F412" s="3">
        <v>180.0</v>
      </c>
      <c r="G412" s="4" t="s">
        <v>17</v>
      </c>
      <c r="H412" s="3">
        <v>4.685425606660864</v>
      </c>
      <c r="K412" s="9" t="str">
        <f>IFERROR(__xludf.DUMMYFUNCTION("""COMPUTED_VALUE"""),"TT Off Central")</f>
        <v>TT Off Central</v>
      </c>
      <c r="L412" s="9" t="str">
        <f>IFERROR(__xludf.DUMMYFUNCTION("""COMPUTED_VALUE"""),"Elite")</f>
        <v>Elite</v>
      </c>
      <c r="M412" s="9" t="str">
        <f>IFERROR(__xludf.DUMMYFUNCTION("""COMPUTED_VALUE"""),"Unami Organic")</f>
        <v>Unami Organic</v>
      </c>
      <c r="N412" s="9" t="str">
        <f>IFERROR(__xludf.DUMMYFUNCTION("""COMPUTED_VALUE"""),"Sweetened")</f>
        <v>Sweetened</v>
      </c>
      <c r="O412" s="9" t="str">
        <f>IFERROR(__xludf.DUMMYFUNCTION("""COMPUTED_VALUE"""),"Carton")</f>
        <v>Carton</v>
      </c>
      <c r="P412" s="9">
        <f>IFERROR(__xludf.DUMMYFUNCTION("""COMPUTED_VALUE"""),180.0)</f>
        <v>180</v>
      </c>
      <c r="Q412" s="9" t="str">
        <f>IFERROR(__xludf.DUMMYFUNCTION("""COMPUTED_VALUE"""),"Q4'23")</f>
        <v>Q4'23</v>
      </c>
      <c r="R412" s="9">
        <f>IFERROR(__xludf.DUMMYFUNCTION("""COMPUTED_VALUE"""),11.477568747179799)</f>
        <v>11.47756875</v>
      </c>
    </row>
    <row r="413" ht="14.25" customHeight="1">
      <c r="A413" s="3" t="s">
        <v>24</v>
      </c>
      <c r="B413" s="3" t="s">
        <v>11</v>
      </c>
      <c r="C413" s="3" t="s">
        <v>27</v>
      </c>
      <c r="D413" s="3" t="s">
        <v>13</v>
      </c>
      <c r="E413" s="3" t="s">
        <v>14</v>
      </c>
      <c r="F413" s="3">
        <v>180.0</v>
      </c>
      <c r="G413" s="4" t="s">
        <v>18</v>
      </c>
      <c r="H413" s="3">
        <v>4.892160395388233</v>
      </c>
      <c r="K413" s="9" t="str">
        <f>IFERROR(__xludf.DUMMYFUNCTION("""COMPUTED_VALUE"""),"TT Off Central")</f>
        <v>TT Off Central</v>
      </c>
      <c r="L413" s="9" t="str">
        <f>IFERROR(__xludf.DUMMYFUNCTION("""COMPUTED_VALUE"""),"Elite")</f>
        <v>Elite</v>
      </c>
      <c r="M413" s="9" t="str">
        <f>IFERROR(__xludf.DUMMYFUNCTION("""COMPUTED_VALUE"""),"Unami")</f>
        <v>Unami</v>
      </c>
      <c r="N413" s="9" t="str">
        <f>IFERROR(__xludf.DUMMYFUNCTION("""COMPUTED_VALUE"""),"Chocolate")</f>
        <v>Chocolate</v>
      </c>
      <c r="O413" s="9" t="str">
        <f>IFERROR(__xludf.DUMMYFUNCTION("""COMPUTED_VALUE"""),"TFA")</f>
        <v>TFA</v>
      </c>
      <c r="P413" s="9">
        <f>IFERROR(__xludf.DUMMYFUNCTION("""COMPUTED_VALUE"""),220.0)</f>
        <v>220</v>
      </c>
      <c r="Q413" s="9" t="str">
        <f>IFERROR(__xludf.DUMMYFUNCTION("""COMPUTED_VALUE"""),"Q1'22")</f>
        <v>Q1'22</v>
      </c>
      <c r="R413" s="9">
        <f>IFERROR(__xludf.DUMMYFUNCTION("""COMPUTED_VALUE"""),1.2394107757142718)</f>
        <v>1.239410776</v>
      </c>
    </row>
    <row r="414" ht="14.25" customHeight="1">
      <c r="A414" s="3" t="s">
        <v>24</v>
      </c>
      <c r="B414" s="3" t="s">
        <v>11</v>
      </c>
      <c r="C414" s="3" t="s">
        <v>27</v>
      </c>
      <c r="D414" s="3" t="s">
        <v>13</v>
      </c>
      <c r="E414" s="3" t="s">
        <v>14</v>
      </c>
      <c r="F414" s="3">
        <v>180.0</v>
      </c>
      <c r="G414" s="4" t="s">
        <v>19</v>
      </c>
      <c r="H414" s="3">
        <v>4.775770096575858</v>
      </c>
      <c r="K414" s="9" t="str">
        <f>IFERROR(__xludf.DUMMYFUNCTION("""COMPUTED_VALUE"""),"TT Off Central")</f>
        <v>TT Off Central</v>
      </c>
      <c r="L414" s="9" t="str">
        <f>IFERROR(__xludf.DUMMYFUNCTION("""COMPUTED_VALUE"""),"Elite")</f>
        <v>Elite</v>
      </c>
      <c r="M414" s="9" t="str">
        <f>IFERROR(__xludf.DUMMYFUNCTION("""COMPUTED_VALUE"""),"Unami")</f>
        <v>Unami</v>
      </c>
      <c r="N414" s="9" t="str">
        <f>IFERROR(__xludf.DUMMYFUNCTION("""COMPUTED_VALUE"""),"Chocolate")</f>
        <v>Chocolate</v>
      </c>
      <c r="O414" s="9" t="str">
        <f>IFERROR(__xludf.DUMMYFUNCTION("""COMPUTED_VALUE"""),"TFA")</f>
        <v>TFA</v>
      </c>
      <c r="P414" s="9">
        <f>IFERROR(__xludf.DUMMYFUNCTION("""COMPUTED_VALUE"""),220.0)</f>
        <v>220</v>
      </c>
      <c r="Q414" s="9" t="str">
        <f>IFERROR(__xludf.DUMMYFUNCTION("""COMPUTED_VALUE"""),"Q2'22")</f>
        <v>Q2'22</v>
      </c>
      <c r="R414" s="9">
        <f>IFERROR(__xludf.DUMMYFUNCTION("""COMPUTED_VALUE"""),1.1532113501418884)</f>
        <v>1.15321135</v>
      </c>
    </row>
    <row r="415" ht="14.25" customHeight="1">
      <c r="A415" s="3" t="s">
        <v>24</v>
      </c>
      <c r="B415" s="3" t="s">
        <v>11</v>
      </c>
      <c r="C415" s="3" t="s">
        <v>27</v>
      </c>
      <c r="D415" s="3" t="s">
        <v>13</v>
      </c>
      <c r="E415" s="3" t="s">
        <v>14</v>
      </c>
      <c r="F415" s="3">
        <v>180.0</v>
      </c>
      <c r="G415" s="4" t="s">
        <v>20</v>
      </c>
      <c r="H415" s="3">
        <v>5.411492760634931</v>
      </c>
      <c r="K415" s="9" t="str">
        <f>IFERROR(__xludf.DUMMYFUNCTION("""COMPUTED_VALUE"""),"TT Off Central")</f>
        <v>TT Off Central</v>
      </c>
      <c r="L415" s="9" t="str">
        <f>IFERROR(__xludf.DUMMYFUNCTION("""COMPUTED_VALUE"""),"Elite")</f>
        <v>Elite</v>
      </c>
      <c r="M415" s="9" t="str">
        <f>IFERROR(__xludf.DUMMYFUNCTION("""COMPUTED_VALUE"""),"Unami")</f>
        <v>Unami</v>
      </c>
      <c r="N415" s="9" t="str">
        <f>IFERROR(__xludf.DUMMYFUNCTION("""COMPUTED_VALUE"""),"Chocolate")</f>
        <v>Chocolate</v>
      </c>
      <c r="O415" s="9" t="str">
        <f>IFERROR(__xludf.DUMMYFUNCTION("""COMPUTED_VALUE"""),"TFA")</f>
        <v>TFA</v>
      </c>
      <c r="P415" s="9">
        <f>IFERROR(__xludf.DUMMYFUNCTION("""COMPUTED_VALUE"""),220.0)</f>
        <v>220</v>
      </c>
      <c r="Q415" s="9" t="str">
        <f>IFERROR(__xludf.DUMMYFUNCTION("""COMPUTED_VALUE"""),"Q3'22")</f>
        <v>Q3'22</v>
      </c>
      <c r="R415" s="9">
        <f>IFERROR(__xludf.DUMMYFUNCTION("""COMPUTED_VALUE"""),1.0474494446945657)</f>
        <v>1.047449445</v>
      </c>
    </row>
    <row r="416" ht="14.25" customHeight="1">
      <c r="A416" s="3" t="s">
        <v>24</v>
      </c>
      <c r="B416" s="3" t="s">
        <v>11</v>
      </c>
      <c r="C416" s="3" t="s">
        <v>27</v>
      </c>
      <c r="D416" s="3" t="s">
        <v>13</v>
      </c>
      <c r="E416" s="3" t="s">
        <v>14</v>
      </c>
      <c r="F416" s="3">
        <v>180.0</v>
      </c>
      <c r="G416" s="4" t="s">
        <v>21</v>
      </c>
      <c r="H416" s="3">
        <v>5.692885007055795</v>
      </c>
      <c r="K416" s="9" t="str">
        <f>IFERROR(__xludf.DUMMYFUNCTION("""COMPUTED_VALUE"""),"TT Off Central")</f>
        <v>TT Off Central</v>
      </c>
      <c r="L416" s="9" t="str">
        <f>IFERROR(__xludf.DUMMYFUNCTION("""COMPUTED_VALUE"""),"Elite")</f>
        <v>Elite</v>
      </c>
      <c r="M416" s="9" t="str">
        <f>IFERROR(__xludf.DUMMYFUNCTION("""COMPUTED_VALUE"""),"Unami")</f>
        <v>Unami</v>
      </c>
      <c r="N416" s="9" t="str">
        <f>IFERROR(__xludf.DUMMYFUNCTION("""COMPUTED_VALUE"""),"Chocolate")</f>
        <v>Chocolate</v>
      </c>
      <c r="O416" s="9" t="str">
        <f>IFERROR(__xludf.DUMMYFUNCTION("""COMPUTED_VALUE"""),"TFA")</f>
        <v>TFA</v>
      </c>
      <c r="P416" s="9">
        <f>IFERROR(__xludf.DUMMYFUNCTION("""COMPUTED_VALUE"""),220.0)</f>
        <v>220</v>
      </c>
      <c r="Q416" s="9" t="str">
        <f>IFERROR(__xludf.DUMMYFUNCTION("""COMPUTED_VALUE"""),"Q4'22")</f>
        <v>Q4'22</v>
      </c>
      <c r="R416" s="9">
        <f>IFERROR(__xludf.DUMMYFUNCTION("""COMPUTED_VALUE"""),1.1426235114465162)</f>
        <v>1.142623511</v>
      </c>
    </row>
    <row r="417" ht="14.25" customHeight="1">
      <c r="A417" s="3" t="s">
        <v>24</v>
      </c>
      <c r="B417" s="3" t="s">
        <v>11</v>
      </c>
      <c r="C417" s="3" t="s">
        <v>27</v>
      </c>
      <c r="D417" s="3" t="s">
        <v>13</v>
      </c>
      <c r="E417" s="3" t="s">
        <v>14</v>
      </c>
      <c r="F417" s="3">
        <v>180.0</v>
      </c>
      <c r="G417" s="4" t="s">
        <v>22</v>
      </c>
      <c r="H417" s="3">
        <v>5.924334636932793</v>
      </c>
      <c r="K417" s="9" t="str">
        <f>IFERROR(__xludf.DUMMYFUNCTION("""COMPUTED_VALUE"""),"TT Off Central")</f>
        <v>TT Off Central</v>
      </c>
      <c r="L417" s="9" t="str">
        <f>IFERROR(__xludf.DUMMYFUNCTION("""COMPUTED_VALUE"""),"Elite")</f>
        <v>Elite</v>
      </c>
      <c r="M417" s="9" t="str">
        <f>IFERROR(__xludf.DUMMYFUNCTION("""COMPUTED_VALUE"""),"Unami")</f>
        <v>Unami</v>
      </c>
      <c r="N417" s="9" t="str">
        <f>IFERROR(__xludf.DUMMYFUNCTION("""COMPUTED_VALUE"""),"Chocolate")</f>
        <v>Chocolate</v>
      </c>
      <c r="O417" s="9" t="str">
        <f>IFERROR(__xludf.DUMMYFUNCTION("""COMPUTED_VALUE"""),"TFA")</f>
        <v>TFA</v>
      </c>
      <c r="P417" s="9">
        <f>IFERROR(__xludf.DUMMYFUNCTION("""COMPUTED_VALUE"""),220.0)</f>
        <v>220</v>
      </c>
      <c r="Q417" s="9" t="str">
        <f>IFERROR(__xludf.DUMMYFUNCTION("""COMPUTED_VALUE"""),"Q1'23")</f>
        <v>Q1'23</v>
      </c>
      <c r="R417" s="9">
        <f>IFERROR(__xludf.DUMMYFUNCTION("""COMPUTED_VALUE"""),1.2266842780319558)</f>
        <v>1.226684278</v>
      </c>
    </row>
    <row r="418" ht="14.25" customHeight="1">
      <c r="A418" s="3" t="s">
        <v>24</v>
      </c>
      <c r="B418" s="3" t="s">
        <v>11</v>
      </c>
      <c r="C418" s="3" t="s">
        <v>12</v>
      </c>
      <c r="D418" s="3" t="s">
        <v>28</v>
      </c>
      <c r="E418" s="3" t="s">
        <v>29</v>
      </c>
      <c r="F418" s="3">
        <v>220.0</v>
      </c>
      <c r="G418" s="4" t="s">
        <v>15</v>
      </c>
      <c r="H418" s="3">
        <v>1.3564780703892742E-5</v>
      </c>
      <c r="K418" s="9" t="str">
        <f>IFERROR(__xludf.DUMMYFUNCTION("""COMPUTED_VALUE"""),"TT Off Central")</f>
        <v>TT Off Central</v>
      </c>
      <c r="L418" s="9" t="str">
        <f>IFERROR(__xludf.DUMMYFUNCTION("""COMPUTED_VALUE"""),"Elite")</f>
        <v>Elite</v>
      </c>
      <c r="M418" s="9" t="str">
        <f>IFERROR(__xludf.DUMMYFUNCTION("""COMPUTED_VALUE"""),"Unami")</f>
        <v>Unami</v>
      </c>
      <c r="N418" s="9" t="str">
        <f>IFERROR(__xludf.DUMMYFUNCTION("""COMPUTED_VALUE"""),"Chocolate")</f>
        <v>Chocolate</v>
      </c>
      <c r="O418" s="9" t="str">
        <f>IFERROR(__xludf.DUMMYFUNCTION("""COMPUTED_VALUE"""),"TFA")</f>
        <v>TFA</v>
      </c>
      <c r="P418" s="9">
        <f>IFERROR(__xludf.DUMMYFUNCTION("""COMPUTED_VALUE"""),220.0)</f>
        <v>220</v>
      </c>
      <c r="Q418" s="9" t="str">
        <f>IFERROR(__xludf.DUMMYFUNCTION("""COMPUTED_VALUE"""),"Q2'23")</f>
        <v>Q2'23</v>
      </c>
      <c r="R418" s="9">
        <f>IFERROR(__xludf.DUMMYFUNCTION("""COMPUTED_VALUE"""),1.296050453704693)</f>
        <v>1.296050454</v>
      </c>
    </row>
    <row r="419" ht="14.25" customHeight="1">
      <c r="A419" s="3" t="s">
        <v>24</v>
      </c>
      <c r="B419" s="3" t="s">
        <v>11</v>
      </c>
      <c r="C419" s="3" t="s">
        <v>12</v>
      </c>
      <c r="D419" s="3" t="s">
        <v>28</v>
      </c>
      <c r="E419" s="3" t="s">
        <v>29</v>
      </c>
      <c r="F419" s="3">
        <v>220.0</v>
      </c>
      <c r="G419" s="4" t="s">
        <v>16</v>
      </c>
      <c r="H419" s="3">
        <v>2.689403992633446E-5</v>
      </c>
      <c r="K419" s="9" t="str">
        <f>IFERROR(__xludf.DUMMYFUNCTION("""COMPUTED_VALUE"""),"TT Off Central")</f>
        <v>TT Off Central</v>
      </c>
      <c r="L419" s="9" t="str">
        <f>IFERROR(__xludf.DUMMYFUNCTION("""COMPUTED_VALUE"""),"Elite")</f>
        <v>Elite</v>
      </c>
      <c r="M419" s="9" t="str">
        <f>IFERROR(__xludf.DUMMYFUNCTION("""COMPUTED_VALUE"""),"Unami")</f>
        <v>Unami</v>
      </c>
      <c r="N419" s="9" t="str">
        <f>IFERROR(__xludf.DUMMYFUNCTION("""COMPUTED_VALUE"""),"Chocolate")</f>
        <v>Chocolate</v>
      </c>
      <c r="O419" s="9" t="str">
        <f>IFERROR(__xludf.DUMMYFUNCTION("""COMPUTED_VALUE"""),"TFA")</f>
        <v>TFA</v>
      </c>
      <c r="P419" s="9">
        <f>IFERROR(__xludf.DUMMYFUNCTION("""COMPUTED_VALUE"""),220.0)</f>
        <v>220</v>
      </c>
      <c r="Q419" s="9" t="str">
        <f>IFERROR(__xludf.DUMMYFUNCTION("""COMPUTED_VALUE"""),"Q3'23")</f>
        <v>Q3'23</v>
      </c>
      <c r="R419" s="9">
        <f>IFERROR(__xludf.DUMMYFUNCTION("""COMPUTED_VALUE"""),1.3404861213362502)</f>
        <v>1.340486121</v>
      </c>
    </row>
    <row r="420" ht="14.25" customHeight="1">
      <c r="A420" s="3" t="s">
        <v>24</v>
      </c>
      <c r="B420" s="3" t="s">
        <v>11</v>
      </c>
      <c r="C420" s="3" t="s">
        <v>12</v>
      </c>
      <c r="D420" s="3" t="s">
        <v>28</v>
      </c>
      <c r="E420" s="3" t="s">
        <v>29</v>
      </c>
      <c r="F420" s="3">
        <v>220.0</v>
      </c>
      <c r="G420" s="4" t="s">
        <v>17</v>
      </c>
      <c r="H420" s="3">
        <v>0.042192920116087176</v>
      </c>
      <c r="K420" s="9" t="str">
        <f>IFERROR(__xludf.DUMMYFUNCTION("""COMPUTED_VALUE"""),"TT Off Central")</f>
        <v>TT Off Central</v>
      </c>
      <c r="L420" s="9" t="str">
        <f>IFERROR(__xludf.DUMMYFUNCTION("""COMPUTED_VALUE"""),"Elite")</f>
        <v>Elite</v>
      </c>
      <c r="M420" s="9" t="str">
        <f>IFERROR(__xludf.DUMMYFUNCTION("""COMPUTED_VALUE"""),"Unami")</f>
        <v>Unami</v>
      </c>
      <c r="N420" s="9" t="str">
        <f>IFERROR(__xludf.DUMMYFUNCTION("""COMPUTED_VALUE"""),"Chocolate")</f>
        <v>Chocolate</v>
      </c>
      <c r="O420" s="9" t="str">
        <f>IFERROR(__xludf.DUMMYFUNCTION("""COMPUTED_VALUE"""),"TFA")</f>
        <v>TFA</v>
      </c>
      <c r="P420" s="9">
        <f>IFERROR(__xludf.DUMMYFUNCTION("""COMPUTED_VALUE"""),220.0)</f>
        <v>220</v>
      </c>
      <c r="Q420" s="9" t="str">
        <f>IFERROR(__xludf.DUMMYFUNCTION("""COMPUTED_VALUE"""),"Q4'23")</f>
        <v>Q4'23</v>
      </c>
      <c r="R420" s="9">
        <f>IFERROR(__xludf.DUMMYFUNCTION("""COMPUTED_VALUE"""),1.2247265821566973)</f>
        <v>1.224726582</v>
      </c>
    </row>
    <row r="421" ht="14.25" customHeight="1">
      <c r="A421" s="3" t="s">
        <v>24</v>
      </c>
      <c r="B421" s="3" t="s">
        <v>11</v>
      </c>
      <c r="C421" s="3" t="s">
        <v>12</v>
      </c>
      <c r="D421" s="3" t="s">
        <v>28</v>
      </c>
      <c r="E421" s="3" t="s">
        <v>29</v>
      </c>
      <c r="F421" s="3">
        <v>220.0</v>
      </c>
      <c r="G421" s="4" t="s">
        <v>18</v>
      </c>
      <c r="H421" s="3">
        <v>0.390227100550007</v>
      </c>
      <c r="K421" s="9" t="str">
        <f>IFERROR(__xludf.DUMMYFUNCTION("""COMPUTED_VALUE"""),"TT Off Central")</f>
        <v>TT Off Central</v>
      </c>
      <c r="L421" s="9" t="str">
        <f>IFERROR(__xludf.DUMMYFUNCTION("""COMPUTED_VALUE"""),"Elite")</f>
        <v>Elite</v>
      </c>
      <c r="M421" s="9" t="str">
        <f>IFERROR(__xludf.DUMMYFUNCTION("""COMPUTED_VALUE"""),"Unami")</f>
        <v>Unami</v>
      </c>
      <c r="N421" s="9" t="str">
        <f>IFERROR(__xludf.DUMMYFUNCTION("""COMPUTED_VALUE"""),"Plain")</f>
        <v>Plain</v>
      </c>
      <c r="O421" s="9" t="str">
        <f>IFERROR(__xludf.DUMMYFUNCTION("""COMPUTED_VALUE"""),"TFA")</f>
        <v>TFA</v>
      </c>
      <c r="P421" s="9">
        <f>IFERROR(__xludf.DUMMYFUNCTION("""COMPUTED_VALUE"""),220.0)</f>
        <v>220</v>
      </c>
      <c r="Q421" s="9" t="str">
        <f>IFERROR(__xludf.DUMMYFUNCTION("""COMPUTED_VALUE"""),"Q1'22")</f>
        <v>Q1'22</v>
      </c>
      <c r="R421" s="9">
        <f>IFERROR(__xludf.DUMMYFUNCTION("""COMPUTED_VALUE"""),4.448854927393816)</f>
        <v>4.448854927</v>
      </c>
    </row>
    <row r="422" ht="14.25" customHeight="1">
      <c r="A422" s="3" t="s">
        <v>24</v>
      </c>
      <c r="B422" s="3" t="s">
        <v>11</v>
      </c>
      <c r="C422" s="3" t="s">
        <v>12</v>
      </c>
      <c r="D422" s="3" t="s">
        <v>28</v>
      </c>
      <c r="E422" s="3" t="s">
        <v>29</v>
      </c>
      <c r="F422" s="3">
        <v>220.0</v>
      </c>
      <c r="G422" s="4" t="s">
        <v>19</v>
      </c>
      <c r="H422" s="3">
        <v>0.5283418392053992</v>
      </c>
      <c r="K422" s="9" t="str">
        <f>IFERROR(__xludf.DUMMYFUNCTION("""COMPUTED_VALUE"""),"TT Off Central")</f>
        <v>TT Off Central</v>
      </c>
      <c r="L422" s="9" t="str">
        <f>IFERROR(__xludf.DUMMYFUNCTION("""COMPUTED_VALUE"""),"Elite")</f>
        <v>Elite</v>
      </c>
      <c r="M422" s="9" t="str">
        <f>IFERROR(__xludf.DUMMYFUNCTION("""COMPUTED_VALUE"""),"Unami")</f>
        <v>Unami</v>
      </c>
      <c r="N422" s="9" t="str">
        <f>IFERROR(__xludf.DUMMYFUNCTION("""COMPUTED_VALUE"""),"Plain")</f>
        <v>Plain</v>
      </c>
      <c r="O422" s="9" t="str">
        <f>IFERROR(__xludf.DUMMYFUNCTION("""COMPUTED_VALUE"""),"TFA")</f>
        <v>TFA</v>
      </c>
      <c r="P422" s="9">
        <f>IFERROR(__xludf.DUMMYFUNCTION("""COMPUTED_VALUE"""),220.0)</f>
        <v>220</v>
      </c>
      <c r="Q422" s="9" t="str">
        <f>IFERROR(__xludf.DUMMYFUNCTION("""COMPUTED_VALUE"""),"Q2'22")</f>
        <v>Q2'22</v>
      </c>
      <c r="R422" s="9">
        <f>IFERROR(__xludf.DUMMYFUNCTION("""COMPUTED_VALUE"""),4.4835211726223925)</f>
        <v>4.483521173</v>
      </c>
    </row>
    <row r="423" ht="14.25" customHeight="1">
      <c r="A423" s="3" t="s">
        <v>24</v>
      </c>
      <c r="B423" s="3" t="s">
        <v>11</v>
      </c>
      <c r="C423" s="3" t="s">
        <v>12</v>
      </c>
      <c r="D423" s="3" t="s">
        <v>28</v>
      </c>
      <c r="E423" s="3" t="s">
        <v>29</v>
      </c>
      <c r="F423" s="3">
        <v>220.0</v>
      </c>
      <c r="G423" s="4" t="s">
        <v>20</v>
      </c>
      <c r="H423" s="3">
        <v>0.6417869728641449</v>
      </c>
      <c r="K423" s="9" t="str">
        <f>IFERROR(__xludf.DUMMYFUNCTION("""COMPUTED_VALUE"""),"TT Off Central")</f>
        <v>TT Off Central</v>
      </c>
      <c r="L423" s="9" t="str">
        <f>IFERROR(__xludf.DUMMYFUNCTION("""COMPUTED_VALUE"""),"Elite")</f>
        <v>Elite</v>
      </c>
      <c r="M423" s="9" t="str">
        <f>IFERROR(__xludf.DUMMYFUNCTION("""COMPUTED_VALUE"""),"Unami")</f>
        <v>Unami</v>
      </c>
      <c r="N423" s="9" t="str">
        <f>IFERROR(__xludf.DUMMYFUNCTION("""COMPUTED_VALUE"""),"Plain")</f>
        <v>Plain</v>
      </c>
      <c r="O423" s="9" t="str">
        <f>IFERROR(__xludf.DUMMYFUNCTION("""COMPUTED_VALUE"""),"TFA")</f>
        <v>TFA</v>
      </c>
      <c r="P423" s="9">
        <f>IFERROR(__xludf.DUMMYFUNCTION("""COMPUTED_VALUE"""),220.0)</f>
        <v>220</v>
      </c>
      <c r="Q423" s="9" t="str">
        <f>IFERROR(__xludf.DUMMYFUNCTION("""COMPUTED_VALUE"""),"Q3'22")</f>
        <v>Q3'22</v>
      </c>
      <c r="R423" s="9">
        <f>IFERROR(__xludf.DUMMYFUNCTION("""COMPUTED_VALUE"""),4.467957806514812)</f>
        <v>4.467957807</v>
      </c>
    </row>
    <row r="424" ht="14.25" customHeight="1">
      <c r="A424" s="3" t="s">
        <v>24</v>
      </c>
      <c r="B424" s="3" t="s">
        <v>11</v>
      </c>
      <c r="C424" s="3" t="s">
        <v>12</v>
      </c>
      <c r="D424" s="3" t="s">
        <v>28</v>
      </c>
      <c r="E424" s="3" t="s">
        <v>29</v>
      </c>
      <c r="F424" s="3">
        <v>220.0</v>
      </c>
      <c r="G424" s="4" t="s">
        <v>21</v>
      </c>
      <c r="H424" s="3">
        <v>0.6384109987401674</v>
      </c>
      <c r="K424" s="9" t="str">
        <f>IFERROR(__xludf.DUMMYFUNCTION("""COMPUTED_VALUE"""),"TT Off Central")</f>
        <v>TT Off Central</v>
      </c>
      <c r="L424" s="9" t="str">
        <f>IFERROR(__xludf.DUMMYFUNCTION("""COMPUTED_VALUE"""),"Elite")</f>
        <v>Elite</v>
      </c>
      <c r="M424" s="9" t="str">
        <f>IFERROR(__xludf.DUMMYFUNCTION("""COMPUTED_VALUE"""),"Unami")</f>
        <v>Unami</v>
      </c>
      <c r="N424" s="9" t="str">
        <f>IFERROR(__xludf.DUMMYFUNCTION("""COMPUTED_VALUE"""),"Plain")</f>
        <v>Plain</v>
      </c>
      <c r="O424" s="9" t="str">
        <f>IFERROR(__xludf.DUMMYFUNCTION("""COMPUTED_VALUE"""),"TFA")</f>
        <v>TFA</v>
      </c>
      <c r="P424" s="9">
        <f>IFERROR(__xludf.DUMMYFUNCTION("""COMPUTED_VALUE"""),220.0)</f>
        <v>220</v>
      </c>
      <c r="Q424" s="9" t="str">
        <f>IFERROR(__xludf.DUMMYFUNCTION("""COMPUTED_VALUE"""),"Q4'22")</f>
        <v>Q4'22</v>
      </c>
      <c r="R424" s="9">
        <f>IFERROR(__xludf.DUMMYFUNCTION("""COMPUTED_VALUE"""),4.7170002861974485)</f>
        <v>4.717000286</v>
      </c>
    </row>
    <row r="425" ht="14.25" customHeight="1">
      <c r="A425" s="3" t="s">
        <v>24</v>
      </c>
      <c r="B425" s="3" t="s">
        <v>11</v>
      </c>
      <c r="C425" s="3" t="s">
        <v>12</v>
      </c>
      <c r="D425" s="3" t="s">
        <v>28</v>
      </c>
      <c r="E425" s="3" t="s">
        <v>29</v>
      </c>
      <c r="F425" s="3">
        <v>220.0</v>
      </c>
      <c r="G425" s="4" t="s">
        <v>22</v>
      </c>
      <c r="H425" s="3">
        <v>0.5794101129868668</v>
      </c>
      <c r="K425" s="9" t="str">
        <f>IFERROR(__xludf.DUMMYFUNCTION("""COMPUTED_VALUE"""),"TT Off Central")</f>
        <v>TT Off Central</v>
      </c>
      <c r="L425" s="9" t="str">
        <f>IFERROR(__xludf.DUMMYFUNCTION("""COMPUTED_VALUE"""),"Elite")</f>
        <v>Elite</v>
      </c>
      <c r="M425" s="9" t="str">
        <f>IFERROR(__xludf.DUMMYFUNCTION("""COMPUTED_VALUE"""),"Unami")</f>
        <v>Unami</v>
      </c>
      <c r="N425" s="9" t="str">
        <f>IFERROR(__xludf.DUMMYFUNCTION("""COMPUTED_VALUE"""),"Plain")</f>
        <v>Plain</v>
      </c>
      <c r="O425" s="9" t="str">
        <f>IFERROR(__xludf.DUMMYFUNCTION("""COMPUTED_VALUE"""),"TFA")</f>
        <v>TFA</v>
      </c>
      <c r="P425" s="9">
        <f>IFERROR(__xludf.DUMMYFUNCTION("""COMPUTED_VALUE"""),220.0)</f>
        <v>220</v>
      </c>
      <c r="Q425" s="9" t="str">
        <f>IFERROR(__xludf.DUMMYFUNCTION("""COMPUTED_VALUE"""),"Q1'23")</f>
        <v>Q1'23</v>
      </c>
      <c r="R425" s="9">
        <f>IFERROR(__xludf.DUMMYFUNCTION("""COMPUTED_VALUE"""),4.400438349620923)</f>
        <v>4.40043835</v>
      </c>
    </row>
    <row r="426" ht="14.25" customHeight="1">
      <c r="A426" s="3" t="s">
        <v>24</v>
      </c>
      <c r="B426" s="3" t="s">
        <v>11</v>
      </c>
      <c r="C426" s="3" t="s">
        <v>12</v>
      </c>
      <c r="D426" s="3" t="s">
        <v>30</v>
      </c>
      <c r="E426" s="3" t="s">
        <v>29</v>
      </c>
      <c r="F426" s="3">
        <v>220.0</v>
      </c>
      <c r="G426" s="4" t="s">
        <v>16</v>
      </c>
      <c r="H426" s="3">
        <v>0.001258410076798484</v>
      </c>
      <c r="K426" s="9" t="str">
        <f>IFERROR(__xludf.DUMMYFUNCTION("""COMPUTED_VALUE"""),"TT Off Central")</f>
        <v>TT Off Central</v>
      </c>
      <c r="L426" s="9" t="str">
        <f>IFERROR(__xludf.DUMMYFUNCTION("""COMPUTED_VALUE"""),"Elite")</f>
        <v>Elite</v>
      </c>
      <c r="M426" s="9" t="str">
        <f>IFERROR(__xludf.DUMMYFUNCTION("""COMPUTED_VALUE"""),"Unami")</f>
        <v>Unami</v>
      </c>
      <c r="N426" s="9" t="str">
        <f>IFERROR(__xludf.DUMMYFUNCTION("""COMPUTED_VALUE"""),"Plain")</f>
        <v>Plain</v>
      </c>
      <c r="O426" s="9" t="str">
        <f>IFERROR(__xludf.DUMMYFUNCTION("""COMPUTED_VALUE"""),"TFA")</f>
        <v>TFA</v>
      </c>
      <c r="P426" s="9">
        <f>IFERROR(__xludf.DUMMYFUNCTION("""COMPUTED_VALUE"""),220.0)</f>
        <v>220</v>
      </c>
      <c r="Q426" s="9" t="str">
        <f>IFERROR(__xludf.DUMMYFUNCTION("""COMPUTED_VALUE"""),"Q2'23")</f>
        <v>Q2'23</v>
      </c>
      <c r="R426" s="9">
        <f>IFERROR(__xludf.DUMMYFUNCTION("""COMPUTED_VALUE"""),4.507563866124139)</f>
        <v>4.507563866</v>
      </c>
    </row>
    <row r="427" ht="14.25" customHeight="1">
      <c r="A427" s="3" t="s">
        <v>24</v>
      </c>
      <c r="B427" s="3" t="s">
        <v>11</v>
      </c>
      <c r="C427" s="3" t="s">
        <v>12</v>
      </c>
      <c r="D427" s="3" t="s">
        <v>30</v>
      </c>
      <c r="E427" s="3" t="s">
        <v>29</v>
      </c>
      <c r="F427" s="3">
        <v>220.0</v>
      </c>
      <c r="G427" s="4" t="s">
        <v>17</v>
      </c>
      <c r="H427" s="3">
        <v>0.34672827772982545</v>
      </c>
      <c r="K427" s="9" t="str">
        <f>IFERROR(__xludf.DUMMYFUNCTION("""COMPUTED_VALUE"""),"TT Off Central")</f>
        <v>TT Off Central</v>
      </c>
      <c r="L427" s="9" t="str">
        <f>IFERROR(__xludf.DUMMYFUNCTION("""COMPUTED_VALUE"""),"Elite")</f>
        <v>Elite</v>
      </c>
      <c r="M427" s="9" t="str">
        <f>IFERROR(__xludf.DUMMYFUNCTION("""COMPUTED_VALUE"""),"Unami")</f>
        <v>Unami</v>
      </c>
      <c r="N427" s="9" t="str">
        <f>IFERROR(__xludf.DUMMYFUNCTION("""COMPUTED_VALUE"""),"Plain")</f>
        <v>Plain</v>
      </c>
      <c r="O427" s="9" t="str">
        <f>IFERROR(__xludf.DUMMYFUNCTION("""COMPUTED_VALUE"""),"TFA")</f>
        <v>TFA</v>
      </c>
      <c r="P427" s="9">
        <f>IFERROR(__xludf.DUMMYFUNCTION("""COMPUTED_VALUE"""),220.0)</f>
        <v>220</v>
      </c>
      <c r="Q427" s="9" t="str">
        <f>IFERROR(__xludf.DUMMYFUNCTION("""COMPUTED_VALUE"""),"Q3'23")</f>
        <v>Q3'23</v>
      </c>
      <c r="R427" s="9">
        <f>IFERROR(__xludf.DUMMYFUNCTION("""COMPUTED_VALUE"""),4.35961528590235)</f>
        <v>4.359615286</v>
      </c>
    </row>
    <row r="428" ht="14.25" customHeight="1">
      <c r="A428" s="3" t="s">
        <v>24</v>
      </c>
      <c r="B428" s="3" t="s">
        <v>11</v>
      </c>
      <c r="C428" s="3" t="s">
        <v>12</v>
      </c>
      <c r="D428" s="3" t="s">
        <v>30</v>
      </c>
      <c r="E428" s="3" t="s">
        <v>29</v>
      </c>
      <c r="F428" s="3">
        <v>220.0</v>
      </c>
      <c r="G428" s="4" t="s">
        <v>18</v>
      </c>
      <c r="H428" s="3">
        <v>1.3246415785844852</v>
      </c>
      <c r="K428" s="9" t="str">
        <f>IFERROR(__xludf.DUMMYFUNCTION("""COMPUTED_VALUE"""),"TT Off Central")</f>
        <v>TT Off Central</v>
      </c>
      <c r="L428" s="9" t="str">
        <f>IFERROR(__xludf.DUMMYFUNCTION("""COMPUTED_VALUE"""),"Elite")</f>
        <v>Elite</v>
      </c>
      <c r="M428" s="9" t="str">
        <f>IFERROR(__xludf.DUMMYFUNCTION("""COMPUTED_VALUE"""),"Unami")</f>
        <v>Unami</v>
      </c>
      <c r="N428" s="9" t="str">
        <f>IFERROR(__xludf.DUMMYFUNCTION("""COMPUTED_VALUE"""),"Plain")</f>
        <v>Plain</v>
      </c>
      <c r="O428" s="9" t="str">
        <f>IFERROR(__xludf.DUMMYFUNCTION("""COMPUTED_VALUE"""),"TFA")</f>
        <v>TFA</v>
      </c>
      <c r="P428" s="9">
        <f>IFERROR(__xludf.DUMMYFUNCTION("""COMPUTED_VALUE"""),220.0)</f>
        <v>220</v>
      </c>
      <c r="Q428" s="9" t="str">
        <f>IFERROR(__xludf.DUMMYFUNCTION("""COMPUTED_VALUE"""),"Q4'23")</f>
        <v>Q4'23</v>
      </c>
      <c r="R428" s="9">
        <f>IFERROR(__xludf.DUMMYFUNCTION("""COMPUTED_VALUE"""),4.380539137467842)</f>
        <v>4.380539137</v>
      </c>
    </row>
    <row r="429" ht="14.25" customHeight="1">
      <c r="A429" s="3" t="s">
        <v>24</v>
      </c>
      <c r="B429" s="3" t="s">
        <v>11</v>
      </c>
      <c r="C429" s="3" t="s">
        <v>12</v>
      </c>
      <c r="D429" s="3" t="s">
        <v>30</v>
      </c>
      <c r="E429" s="3" t="s">
        <v>29</v>
      </c>
      <c r="F429" s="3">
        <v>220.0</v>
      </c>
      <c r="G429" s="4" t="s">
        <v>19</v>
      </c>
      <c r="H429" s="3">
        <v>1.3458438464733598</v>
      </c>
      <c r="K429" s="9" t="str">
        <f>IFERROR(__xludf.DUMMYFUNCTION("""COMPUTED_VALUE"""),"TT Off Central")</f>
        <v>TT Off Central</v>
      </c>
      <c r="L429" s="9" t="str">
        <f>IFERROR(__xludf.DUMMYFUNCTION("""COMPUTED_VALUE"""),"Elite")</f>
        <v>Elite</v>
      </c>
      <c r="M429" s="9" t="str">
        <f>IFERROR(__xludf.DUMMYFUNCTION("""COMPUTED_VALUE"""),"Unami")</f>
        <v>Unami</v>
      </c>
      <c r="N429" s="9" t="str">
        <f>IFERROR(__xludf.DUMMYFUNCTION("""COMPUTED_VALUE"""),"Strawberry")</f>
        <v>Strawberry</v>
      </c>
      <c r="O429" s="9" t="str">
        <f>IFERROR(__xludf.DUMMYFUNCTION("""COMPUTED_VALUE"""),"TFA")</f>
        <v>TFA</v>
      </c>
      <c r="P429" s="9">
        <f>IFERROR(__xludf.DUMMYFUNCTION("""COMPUTED_VALUE"""),220.0)</f>
        <v>220</v>
      </c>
      <c r="Q429" s="9" t="str">
        <f>IFERROR(__xludf.DUMMYFUNCTION("""COMPUTED_VALUE"""),"Q1'22")</f>
        <v>Q1'22</v>
      </c>
      <c r="R429" s="9">
        <f>IFERROR(__xludf.DUMMYFUNCTION("""COMPUTED_VALUE"""),0.3442797455460417)</f>
        <v>0.3442797455</v>
      </c>
    </row>
    <row r="430" ht="14.25" customHeight="1">
      <c r="A430" s="3" t="s">
        <v>24</v>
      </c>
      <c r="B430" s="3" t="s">
        <v>11</v>
      </c>
      <c r="C430" s="3" t="s">
        <v>12</v>
      </c>
      <c r="D430" s="3" t="s">
        <v>30</v>
      </c>
      <c r="E430" s="3" t="s">
        <v>29</v>
      </c>
      <c r="F430" s="3">
        <v>220.0</v>
      </c>
      <c r="G430" s="4" t="s">
        <v>20</v>
      </c>
      <c r="H430" s="3">
        <v>1.7084417001274004</v>
      </c>
      <c r="K430" s="9" t="str">
        <f>IFERROR(__xludf.DUMMYFUNCTION("""COMPUTED_VALUE"""),"TT Off Central")</f>
        <v>TT Off Central</v>
      </c>
      <c r="L430" s="9" t="str">
        <f>IFERROR(__xludf.DUMMYFUNCTION("""COMPUTED_VALUE"""),"Elite")</f>
        <v>Elite</v>
      </c>
      <c r="M430" s="9" t="str">
        <f>IFERROR(__xludf.DUMMYFUNCTION("""COMPUTED_VALUE"""),"Unami")</f>
        <v>Unami</v>
      </c>
      <c r="N430" s="9" t="str">
        <f>IFERROR(__xludf.DUMMYFUNCTION("""COMPUTED_VALUE"""),"Strawberry")</f>
        <v>Strawberry</v>
      </c>
      <c r="O430" s="9" t="str">
        <f>IFERROR(__xludf.DUMMYFUNCTION("""COMPUTED_VALUE"""),"TFA")</f>
        <v>TFA</v>
      </c>
      <c r="P430" s="9">
        <f>IFERROR(__xludf.DUMMYFUNCTION("""COMPUTED_VALUE"""),220.0)</f>
        <v>220</v>
      </c>
      <c r="Q430" s="9" t="str">
        <f>IFERROR(__xludf.DUMMYFUNCTION("""COMPUTED_VALUE"""),"Q2'22")</f>
        <v>Q2'22</v>
      </c>
      <c r="R430" s="9">
        <f>IFERROR(__xludf.DUMMYFUNCTION("""COMPUTED_VALUE"""),0.2961766137079289)</f>
        <v>0.2961766137</v>
      </c>
    </row>
    <row r="431" ht="14.25" customHeight="1">
      <c r="A431" s="3" t="s">
        <v>24</v>
      </c>
      <c r="B431" s="3" t="s">
        <v>11</v>
      </c>
      <c r="C431" s="3" t="s">
        <v>12</v>
      </c>
      <c r="D431" s="3" t="s">
        <v>30</v>
      </c>
      <c r="E431" s="3" t="s">
        <v>29</v>
      </c>
      <c r="F431" s="3">
        <v>220.0</v>
      </c>
      <c r="G431" s="4" t="s">
        <v>21</v>
      </c>
      <c r="H431" s="3">
        <v>1.6500571007827707</v>
      </c>
      <c r="K431" s="9" t="str">
        <f>IFERROR(__xludf.DUMMYFUNCTION("""COMPUTED_VALUE"""),"TT Off Central")</f>
        <v>TT Off Central</v>
      </c>
      <c r="L431" s="9" t="str">
        <f>IFERROR(__xludf.DUMMYFUNCTION("""COMPUTED_VALUE"""),"Elite")</f>
        <v>Elite</v>
      </c>
      <c r="M431" s="9" t="str">
        <f>IFERROR(__xludf.DUMMYFUNCTION("""COMPUTED_VALUE"""),"Unami")</f>
        <v>Unami</v>
      </c>
      <c r="N431" s="9" t="str">
        <f>IFERROR(__xludf.DUMMYFUNCTION("""COMPUTED_VALUE"""),"Strawberry")</f>
        <v>Strawberry</v>
      </c>
      <c r="O431" s="9" t="str">
        <f>IFERROR(__xludf.DUMMYFUNCTION("""COMPUTED_VALUE"""),"TFA")</f>
        <v>TFA</v>
      </c>
      <c r="P431" s="9">
        <f>IFERROR(__xludf.DUMMYFUNCTION("""COMPUTED_VALUE"""),220.0)</f>
        <v>220</v>
      </c>
      <c r="Q431" s="9" t="str">
        <f>IFERROR(__xludf.DUMMYFUNCTION("""COMPUTED_VALUE"""),"Q3'22")</f>
        <v>Q3'22</v>
      </c>
      <c r="R431" s="9">
        <f>IFERROR(__xludf.DUMMYFUNCTION("""COMPUTED_VALUE"""),0.37482887834285394)</f>
        <v>0.3748288783</v>
      </c>
    </row>
    <row r="432" ht="14.25" customHeight="1">
      <c r="A432" s="3" t="s">
        <v>24</v>
      </c>
      <c r="B432" s="3" t="s">
        <v>11</v>
      </c>
      <c r="C432" s="3" t="s">
        <v>12</v>
      </c>
      <c r="D432" s="3" t="s">
        <v>30</v>
      </c>
      <c r="E432" s="3" t="s">
        <v>29</v>
      </c>
      <c r="F432" s="3">
        <v>220.0</v>
      </c>
      <c r="G432" s="4" t="s">
        <v>22</v>
      </c>
      <c r="H432" s="3">
        <v>1.348889978868678</v>
      </c>
      <c r="K432" s="9" t="str">
        <f>IFERROR(__xludf.DUMMYFUNCTION("""COMPUTED_VALUE"""),"TT Off Central")</f>
        <v>TT Off Central</v>
      </c>
      <c r="L432" s="9" t="str">
        <f>IFERROR(__xludf.DUMMYFUNCTION("""COMPUTED_VALUE"""),"Elite")</f>
        <v>Elite</v>
      </c>
      <c r="M432" s="9" t="str">
        <f>IFERROR(__xludf.DUMMYFUNCTION("""COMPUTED_VALUE"""),"Unami")</f>
        <v>Unami</v>
      </c>
      <c r="N432" s="9" t="str">
        <f>IFERROR(__xludf.DUMMYFUNCTION("""COMPUTED_VALUE"""),"Strawberry")</f>
        <v>Strawberry</v>
      </c>
      <c r="O432" s="9" t="str">
        <f>IFERROR(__xludf.DUMMYFUNCTION("""COMPUTED_VALUE"""),"TFA")</f>
        <v>TFA</v>
      </c>
      <c r="P432" s="9">
        <f>IFERROR(__xludf.DUMMYFUNCTION("""COMPUTED_VALUE"""),220.0)</f>
        <v>220</v>
      </c>
      <c r="Q432" s="9" t="str">
        <f>IFERROR(__xludf.DUMMYFUNCTION("""COMPUTED_VALUE"""),"Q4'22")</f>
        <v>Q4'22</v>
      </c>
      <c r="R432" s="9">
        <f>IFERROR(__xludf.DUMMYFUNCTION("""COMPUTED_VALUE"""),0.5710281099577896)</f>
        <v>0.57102811</v>
      </c>
    </row>
    <row r="433" ht="14.25" customHeight="1">
      <c r="A433" s="3" t="s">
        <v>24</v>
      </c>
      <c r="B433" s="3" t="s">
        <v>11</v>
      </c>
      <c r="C433" s="3" t="s">
        <v>12</v>
      </c>
      <c r="D433" s="3" t="s">
        <v>31</v>
      </c>
      <c r="E433" s="3" t="s">
        <v>29</v>
      </c>
      <c r="F433" s="3">
        <v>220.0</v>
      </c>
      <c r="G433" s="4" t="s">
        <v>17</v>
      </c>
      <c r="H433" s="3">
        <v>0.04609882572590826</v>
      </c>
      <c r="K433" s="9" t="str">
        <f>IFERROR(__xludf.DUMMYFUNCTION("""COMPUTED_VALUE"""),"TT Off Central")</f>
        <v>TT Off Central</v>
      </c>
      <c r="L433" s="9" t="str">
        <f>IFERROR(__xludf.DUMMYFUNCTION("""COMPUTED_VALUE"""),"Elite")</f>
        <v>Elite</v>
      </c>
      <c r="M433" s="9" t="str">
        <f>IFERROR(__xludf.DUMMYFUNCTION("""COMPUTED_VALUE"""),"Unami")</f>
        <v>Unami</v>
      </c>
      <c r="N433" s="9" t="str">
        <f>IFERROR(__xludf.DUMMYFUNCTION("""COMPUTED_VALUE"""),"Strawberry")</f>
        <v>Strawberry</v>
      </c>
      <c r="O433" s="9" t="str">
        <f>IFERROR(__xludf.DUMMYFUNCTION("""COMPUTED_VALUE"""),"TFA")</f>
        <v>TFA</v>
      </c>
      <c r="P433" s="9">
        <f>IFERROR(__xludf.DUMMYFUNCTION("""COMPUTED_VALUE"""),220.0)</f>
        <v>220</v>
      </c>
      <c r="Q433" s="9" t="str">
        <f>IFERROR(__xludf.DUMMYFUNCTION("""COMPUTED_VALUE"""),"Q1'23")</f>
        <v>Q1'23</v>
      </c>
      <c r="R433" s="9">
        <f>IFERROR(__xludf.DUMMYFUNCTION("""COMPUTED_VALUE"""),0.6264282033759107)</f>
        <v>0.6264282034</v>
      </c>
    </row>
    <row r="434" ht="14.25" customHeight="1">
      <c r="A434" s="3" t="s">
        <v>24</v>
      </c>
      <c r="B434" s="3" t="s">
        <v>11</v>
      </c>
      <c r="C434" s="3" t="s">
        <v>12</v>
      </c>
      <c r="D434" s="3" t="s">
        <v>31</v>
      </c>
      <c r="E434" s="3" t="s">
        <v>29</v>
      </c>
      <c r="F434" s="3">
        <v>220.0</v>
      </c>
      <c r="G434" s="4" t="s">
        <v>18</v>
      </c>
      <c r="H434" s="3">
        <v>0.24806458761870423</v>
      </c>
      <c r="K434" s="9" t="str">
        <f>IFERROR(__xludf.DUMMYFUNCTION("""COMPUTED_VALUE"""),"TT Off Central")</f>
        <v>TT Off Central</v>
      </c>
      <c r="L434" s="9" t="str">
        <f>IFERROR(__xludf.DUMMYFUNCTION("""COMPUTED_VALUE"""),"Elite")</f>
        <v>Elite</v>
      </c>
      <c r="M434" s="9" t="str">
        <f>IFERROR(__xludf.DUMMYFUNCTION("""COMPUTED_VALUE"""),"Unami")</f>
        <v>Unami</v>
      </c>
      <c r="N434" s="9" t="str">
        <f>IFERROR(__xludf.DUMMYFUNCTION("""COMPUTED_VALUE"""),"Strawberry")</f>
        <v>Strawberry</v>
      </c>
      <c r="O434" s="9" t="str">
        <f>IFERROR(__xludf.DUMMYFUNCTION("""COMPUTED_VALUE"""),"TFA")</f>
        <v>TFA</v>
      </c>
      <c r="P434" s="9">
        <f>IFERROR(__xludf.DUMMYFUNCTION("""COMPUTED_VALUE"""),220.0)</f>
        <v>220</v>
      </c>
      <c r="Q434" s="9" t="str">
        <f>IFERROR(__xludf.DUMMYFUNCTION("""COMPUTED_VALUE"""),"Q2'23")</f>
        <v>Q2'23</v>
      </c>
      <c r="R434" s="9">
        <f>IFERROR(__xludf.DUMMYFUNCTION("""COMPUTED_VALUE"""),0.5407585907216979)</f>
        <v>0.5407585907</v>
      </c>
    </row>
    <row r="435" ht="14.25" customHeight="1">
      <c r="A435" s="3" t="s">
        <v>24</v>
      </c>
      <c r="B435" s="3" t="s">
        <v>11</v>
      </c>
      <c r="C435" s="3" t="s">
        <v>12</v>
      </c>
      <c r="D435" s="3" t="s">
        <v>31</v>
      </c>
      <c r="E435" s="3" t="s">
        <v>29</v>
      </c>
      <c r="F435" s="3">
        <v>220.0</v>
      </c>
      <c r="G435" s="4" t="s">
        <v>19</v>
      </c>
      <c r="H435" s="3">
        <v>0.2381851412759658</v>
      </c>
      <c r="K435" s="9" t="str">
        <f>IFERROR(__xludf.DUMMYFUNCTION("""COMPUTED_VALUE"""),"TT Off Central")</f>
        <v>TT Off Central</v>
      </c>
      <c r="L435" s="9" t="str">
        <f>IFERROR(__xludf.DUMMYFUNCTION("""COMPUTED_VALUE"""),"Elite")</f>
        <v>Elite</v>
      </c>
      <c r="M435" s="9" t="str">
        <f>IFERROR(__xludf.DUMMYFUNCTION("""COMPUTED_VALUE"""),"Unami")</f>
        <v>Unami</v>
      </c>
      <c r="N435" s="9" t="str">
        <f>IFERROR(__xludf.DUMMYFUNCTION("""COMPUTED_VALUE"""),"Strawberry")</f>
        <v>Strawberry</v>
      </c>
      <c r="O435" s="9" t="str">
        <f>IFERROR(__xludf.DUMMYFUNCTION("""COMPUTED_VALUE"""),"TFA")</f>
        <v>TFA</v>
      </c>
      <c r="P435" s="9">
        <f>IFERROR(__xludf.DUMMYFUNCTION("""COMPUTED_VALUE"""),220.0)</f>
        <v>220</v>
      </c>
      <c r="Q435" s="9" t="str">
        <f>IFERROR(__xludf.DUMMYFUNCTION("""COMPUTED_VALUE"""),"Q3'23")</f>
        <v>Q3'23</v>
      </c>
      <c r="R435" s="9">
        <f>IFERROR(__xludf.DUMMYFUNCTION("""COMPUTED_VALUE"""),0.43433732122397617)</f>
        <v>0.4343373212</v>
      </c>
    </row>
    <row r="436" ht="14.25" customHeight="1">
      <c r="A436" s="3" t="s">
        <v>24</v>
      </c>
      <c r="B436" s="3" t="s">
        <v>11</v>
      </c>
      <c r="C436" s="3" t="s">
        <v>12</v>
      </c>
      <c r="D436" s="3" t="s">
        <v>31</v>
      </c>
      <c r="E436" s="3" t="s">
        <v>29</v>
      </c>
      <c r="F436" s="3">
        <v>220.0</v>
      </c>
      <c r="G436" s="4" t="s">
        <v>20</v>
      </c>
      <c r="H436" s="3">
        <v>0.276486621889903</v>
      </c>
      <c r="K436" s="9" t="str">
        <f>IFERROR(__xludf.DUMMYFUNCTION("""COMPUTED_VALUE"""),"TT Off Central")</f>
        <v>TT Off Central</v>
      </c>
      <c r="L436" s="9" t="str">
        <f>IFERROR(__xludf.DUMMYFUNCTION("""COMPUTED_VALUE"""),"Elite")</f>
        <v>Elite</v>
      </c>
      <c r="M436" s="9" t="str">
        <f>IFERROR(__xludf.DUMMYFUNCTION("""COMPUTED_VALUE"""),"Unami")</f>
        <v>Unami</v>
      </c>
      <c r="N436" s="9" t="str">
        <f>IFERROR(__xludf.DUMMYFUNCTION("""COMPUTED_VALUE"""),"Strawberry")</f>
        <v>Strawberry</v>
      </c>
      <c r="O436" s="9" t="str">
        <f>IFERROR(__xludf.DUMMYFUNCTION("""COMPUTED_VALUE"""),"TFA")</f>
        <v>TFA</v>
      </c>
      <c r="P436" s="9">
        <f>IFERROR(__xludf.DUMMYFUNCTION("""COMPUTED_VALUE"""),220.0)</f>
        <v>220</v>
      </c>
      <c r="Q436" s="9" t="str">
        <f>IFERROR(__xludf.DUMMYFUNCTION("""COMPUTED_VALUE"""),"Q4'23")</f>
        <v>Q4'23</v>
      </c>
      <c r="R436" s="9">
        <f>IFERROR(__xludf.DUMMYFUNCTION("""COMPUTED_VALUE"""),0.40585569796966414)</f>
        <v>0.405855698</v>
      </c>
    </row>
    <row r="437" ht="14.25" customHeight="1">
      <c r="A437" s="3" t="s">
        <v>24</v>
      </c>
      <c r="B437" s="3" t="s">
        <v>11</v>
      </c>
      <c r="C437" s="3" t="s">
        <v>12</v>
      </c>
      <c r="D437" s="3" t="s">
        <v>31</v>
      </c>
      <c r="E437" s="3" t="s">
        <v>29</v>
      </c>
      <c r="F437" s="3">
        <v>220.0</v>
      </c>
      <c r="G437" s="4" t="s">
        <v>21</v>
      </c>
      <c r="H437" s="3">
        <v>0.23372095018350703</v>
      </c>
      <c r="K437" s="9" t="str">
        <f>IFERROR(__xludf.DUMMYFUNCTION("""COMPUTED_VALUE"""),"TT Off Central")</f>
        <v>TT Off Central</v>
      </c>
      <c r="L437" s="9" t="str">
        <f>IFERROR(__xludf.DUMMYFUNCTION("""COMPUTED_VALUE"""),"Elite")</f>
        <v>Elite</v>
      </c>
      <c r="M437" s="9" t="str">
        <f>IFERROR(__xludf.DUMMYFUNCTION("""COMPUTED_VALUE"""),"Unami")</f>
        <v>Unami</v>
      </c>
      <c r="N437" s="9" t="str">
        <f>IFERROR(__xludf.DUMMYFUNCTION("""COMPUTED_VALUE"""),"Sweetened")</f>
        <v>Sweetened</v>
      </c>
      <c r="O437" s="9" t="str">
        <f>IFERROR(__xludf.DUMMYFUNCTION("""COMPUTED_VALUE"""),"Carton")</f>
        <v>Carton</v>
      </c>
      <c r="P437" s="9">
        <f>IFERROR(__xludf.DUMMYFUNCTION("""COMPUTED_VALUE"""),110.0)</f>
        <v>110</v>
      </c>
      <c r="Q437" s="9" t="str">
        <f>IFERROR(__xludf.DUMMYFUNCTION("""COMPUTED_VALUE"""),"Q1'22")</f>
        <v>Q1'22</v>
      </c>
      <c r="R437" s="9">
        <f>IFERROR(__xludf.DUMMYFUNCTION("""COMPUTED_VALUE"""),6.550091174993472)</f>
        <v>6.550091175</v>
      </c>
    </row>
    <row r="438" ht="14.25" customHeight="1">
      <c r="A438" s="3" t="s">
        <v>24</v>
      </c>
      <c r="B438" s="3" t="s">
        <v>11</v>
      </c>
      <c r="C438" s="3" t="s">
        <v>12</v>
      </c>
      <c r="D438" s="3" t="s">
        <v>31</v>
      </c>
      <c r="E438" s="3" t="s">
        <v>29</v>
      </c>
      <c r="F438" s="3">
        <v>220.0</v>
      </c>
      <c r="G438" s="4" t="s">
        <v>22</v>
      </c>
      <c r="H438" s="3">
        <v>0.24705006075656527</v>
      </c>
      <c r="K438" s="9" t="str">
        <f>IFERROR(__xludf.DUMMYFUNCTION("""COMPUTED_VALUE"""),"TT Off Central")</f>
        <v>TT Off Central</v>
      </c>
      <c r="L438" s="9" t="str">
        <f>IFERROR(__xludf.DUMMYFUNCTION("""COMPUTED_VALUE"""),"Elite")</f>
        <v>Elite</v>
      </c>
      <c r="M438" s="9" t="str">
        <f>IFERROR(__xludf.DUMMYFUNCTION("""COMPUTED_VALUE"""),"Unami")</f>
        <v>Unami</v>
      </c>
      <c r="N438" s="9" t="str">
        <f>IFERROR(__xludf.DUMMYFUNCTION("""COMPUTED_VALUE"""),"Sweetened")</f>
        <v>Sweetened</v>
      </c>
      <c r="O438" s="9" t="str">
        <f>IFERROR(__xludf.DUMMYFUNCTION("""COMPUTED_VALUE"""),"Carton")</f>
        <v>Carton</v>
      </c>
      <c r="P438" s="9">
        <f>IFERROR(__xludf.DUMMYFUNCTION("""COMPUTED_VALUE"""),110.0)</f>
        <v>110</v>
      </c>
      <c r="Q438" s="9" t="str">
        <f>IFERROR(__xludf.DUMMYFUNCTION("""COMPUTED_VALUE"""),"Q2'22")</f>
        <v>Q2'22</v>
      </c>
      <c r="R438" s="9">
        <f>IFERROR(__xludf.DUMMYFUNCTION("""COMPUTED_VALUE"""),5.449843229965444)</f>
        <v>5.44984323</v>
      </c>
    </row>
    <row r="439" ht="14.25" customHeight="1">
      <c r="A439" s="3" t="s">
        <v>24</v>
      </c>
      <c r="B439" s="3" t="s">
        <v>11</v>
      </c>
      <c r="C439" s="3" t="s">
        <v>12</v>
      </c>
      <c r="D439" s="3" t="s">
        <v>13</v>
      </c>
      <c r="E439" s="3" t="s">
        <v>14</v>
      </c>
      <c r="F439" s="3">
        <v>110.0</v>
      </c>
      <c r="G439" s="4" t="s">
        <v>15</v>
      </c>
      <c r="H439" s="3">
        <v>11.620646113139898</v>
      </c>
      <c r="K439" s="9" t="str">
        <f>IFERROR(__xludf.DUMMYFUNCTION("""COMPUTED_VALUE"""),"TT Off Central")</f>
        <v>TT Off Central</v>
      </c>
      <c r="L439" s="9" t="str">
        <f>IFERROR(__xludf.DUMMYFUNCTION("""COMPUTED_VALUE"""),"Elite")</f>
        <v>Elite</v>
      </c>
      <c r="M439" s="9" t="str">
        <f>IFERROR(__xludf.DUMMYFUNCTION("""COMPUTED_VALUE"""),"Unami")</f>
        <v>Unami</v>
      </c>
      <c r="N439" s="9" t="str">
        <f>IFERROR(__xludf.DUMMYFUNCTION("""COMPUTED_VALUE"""),"Sweetened")</f>
        <v>Sweetened</v>
      </c>
      <c r="O439" s="9" t="str">
        <f>IFERROR(__xludf.DUMMYFUNCTION("""COMPUTED_VALUE"""),"Carton")</f>
        <v>Carton</v>
      </c>
      <c r="P439" s="9">
        <f>IFERROR(__xludf.DUMMYFUNCTION("""COMPUTED_VALUE"""),110.0)</f>
        <v>110</v>
      </c>
      <c r="Q439" s="9" t="str">
        <f>IFERROR(__xludf.DUMMYFUNCTION("""COMPUTED_VALUE"""),"Q3'22")</f>
        <v>Q3'22</v>
      </c>
      <c r="R439" s="9">
        <f>IFERROR(__xludf.DUMMYFUNCTION("""COMPUTED_VALUE"""),5.70786072762166)</f>
        <v>5.707860728</v>
      </c>
    </row>
    <row r="440" ht="14.25" customHeight="1">
      <c r="A440" s="3" t="s">
        <v>24</v>
      </c>
      <c r="B440" s="3" t="s">
        <v>11</v>
      </c>
      <c r="C440" s="3" t="s">
        <v>12</v>
      </c>
      <c r="D440" s="3" t="s">
        <v>13</v>
      </c>
      <c r="E440" s="3" t="s">
        <v>14</v>
      </c>
      <c r="F440" s="3">
        <v>110.0</v>
      </c>
      <c r="G440" s="4" t="s">
        <v>16</v>
      </c>
      <c r="H440" s="3">
        <v>11.694166097211173</v>
      </c>
      <c r="K440" s="9" t="str">
        <f>IFERROR(__xludf.DUMMYFUNCTION("""COMPUTED_VALUE"""),"TT Off Central")</f>
        <v>TT Off Central</v>
      </c>
      <c r="L440" s="9" t="str">
        <f>IFERROR(__xludf.DUMMYFUNCTION("""COMPUTED_VALUE"""),"Elite")</f>
        <v>Elite</v>
      </c>
      <c r="M440" s="9" t="str">
        <f>IFERROR(__xludf.DUMMYFUNCTION("""COMPUTED_VALUE"""),"Unami")</f>
        <v>Unami</v>
      </c>
      <c r="N440" s="9" t="str">
        <f>IFERROR(__xludf.DUMMYFUNCTION("""COMPUTED_VALUE"""),"Sweetened")</f>
        <v>Sweetened</v>
      </c>
      <c r="O440" s="9" t="str">
        <f>IFERROR(__xludf.DUMMYFUNCTION("""COMPUTED_VALUE"""),"Carton")</f>
        <v>Carton</v>
      </c>
      <c r="P440" s="9">
        <f>IFERROR(__xludf.DUMMYFUNCTION("""COMPUTED_VALUE"""),110.0)</f>
        <v>110</v>
      </c>
      <c r="Q440" s="9" t="str">
        <f>IFERROR(__xludf.DUMMYFUNCTION("""COMPUTED_VALUE"""),"Q4'22")</f>
        <v>Q4'22</v>
      </c>
      <c r="R440" s="9">
        <f>IFERROR(__xludf.DUMMYFUNCTION("""COMPUTED_VALUE"""),5.345203790380664)</f>
        <v>5.34520379</v>
      </c>
    </row>
    <row r="441" ht="14.25" customHeight="1">
      <c r="A441" s="3" t="s">
        <v>24</v>
      </c>
      <c r="B441" s="3" t="s">
        <v>11</v>
      </c>
      <c r="C441" s="3" t="s">
        <v>12</v>
      </c>
      <c r="D441" s="3" t="s">
        <v>13</v>
      </c>
      <c r="E441" s="3" t="s">
        <v>14</v>
      </c>
      <c r="F441" s="3">
        <v>110.0</v>
      </c>
      <c r="G441" s="4" t="s">
        <v>17</v>
      </c>
      <c r="H441" s="3">
        <v>11.973059288484329</v>
      </c>
      <c r="K441" s="9" t="str">
        <f>IFERROR(__xludf.DUMMYFUNCTION("""COMPUTED_VALUE"""),"TT Off Central")</f>
        <v>TT Off Central</v>
      </c>
      <c r="L441" s="9" t="str">
        <f>IFERROR(__xludf.DUMMYFUNCTION("""COMPUTED_VALUE"""),"Elite")</f>
        <v>Elite</v>
      </c>
      <c r="M441" s="9" t="str">
        <f>IFERROR(__xludf.DUMMYFUNCTION("""COMPUTED_VALUE"""),"Unami")</f>
        <v>Unami</v>
      </c>
      <c r="N441" s="9" t="str">
        <f>IFERROR(__xludf.DUMMYFUNCTION("""COMPUTED_VALUE"""),"Sweetened")</f>
        <v>Sweetened</v>
      </c>
      <c r="O441" s="9" t="str">
        <f>IFERROR(__xludf.DUMMYFUNCTION("""COMPUTED_VALUE"""),"Carton")</f>
        <v>Carton</v>
      </c>
      <c r="P441" s="9">
        <f>IFERROR(__xludf.DUMMYFUNCTION("""COMPUTED_VALUE"""),110.0)</f>
        <v>110</v>
      </c>
      <c r="Q441" s="9" t="str">
        <f>IFERROR(__xludf.DUMMYFUNCTION("""COMPUTED_VALUE"""),"Q1'23")</f>
        <v>Q1'23</v>
      </c>
      <c r="R441" s="9">
        <f>IFERROR(__xludf.DUMMYFUNCTION("""COMPUTED_VALUE"""),4.611294268831101)</f>
        <v>4.611294269</v>
      </c>
    </row>
    <row r="442" ht="14.25" customHeight="1">
      <c r="A442" s="3" t="s">
        <v>24</v>
      </c>
      <c r="B442" s="3" t="s">
        <v>11</v>
      </c>
      <c r="C442" s="3" t="s">
        <v>12</v>
      </c>
      <c r="D442" s="3" t="s">
        <v>13</v>
      </c>
      <c r="E442" s="3" t="s">
        <v>14</v>
      </c>
      <c r="F442" s="3">
        <v>110.0</v>
      </c>
      <c r="G442" s="4" t="s">
        <v>18</v>
      </c>
      <c r="H442" s="3">
        <v>11.381115607387049</v>
      </c>
      <c r="K442" s="9" t="str">
        <f>IFERROR(__xludf.DUMMYFUNCTION("""COMPUTED_VALUE"""),"TT Off Central")</f>
        <v>TT Off Central</v>
      </c>
      <c r="L442" s="9" t="str">
        <f>IFERROR(__xludf.DUMMYFUNCTION("""COMPUTED_VALUE"""),"Elite")</f>
        <v>Elite</v>
      </c>
      <c r="M442" s="9" t="str">
        <f>IFERROR(__xludf.DUMMYFUNCTION("""COMPUTED_VALUE"""),"Unami")</f>
        <v>Unami</v>
      </c>
      <c r="N442" s="9" t="str">
        <f>IFERROR(__xludf.DUMMYFUNCTION("""COMPUTED_VALUE"""),"Sweetened")</f>
        <v>Sweetened</v>
      </c>
      <c r="O442" s="9" t="str">
        <f>IFERROR(__xludf.DUMMYFUNCTION("""COMPUTED_VALUE"""),"Carton")</f>
        <v>Carton</v>
      </c>
      <c r="P442" s="9">
        <f>IFERROR(__xludf.DUMMYFUNCTION("""COMPUTED_VALUE"""),110.0)</f>
        <v>110</v>
      </c>
      <c r="Q442" s="9" t="str">
        <f>IFERROR(__xludf.DUMMYFUNCTION("""COMPUTED_VALUE"""),"Q2'23")</f>
        <v>Q2'23</v>
      </c>
      <c r="R442" s="9">
        <f>IFERROR(__xludf.DUMMYFUNCTION("""COMPUTED_VALUE"""),4.045219936385669)</f>
        <v>4.045219936</v>
      </c>
    </row>
    <row r="443" ht="14.25" customHeight="1">
      <c r="A443" s="3" t="s">
        <v>24</v>
      </c>
      <c r="B443" s="3" t="s">
        <v>11</v>
      </c>
      <c r="C443" s="3" t="s">
        <v>12</v>
      </c>
      <c r="D443" s="3" t="s">
        <v>13</v>
      </c>
      <c r="E443" s="3" t="s">
        <v>14</v>
      </c>
      <c r="F443" s="3">
        <v>110.0</v>
      </c>
      <c r="G443" s="4" t="s">
        <v>19</v>
      </c>
      <c r="H443" s="3">
        <v>10.231927723220611</v>
      </c>
      <c r="K443" s="9" t="str">
        <f>IFERROR(__xludf.DUMMYFUNCTION("""COMPUTED_VALUE"""),"TT Off Central")</f>
        <v>TT Off Central</v>
      </c>
      <c r="L443" s="9" t="str">
        <f>IFERROR(__xludf.DUMMYFUNCTION("""COMPUTED_VALUE"""),"Elite")</f>
        <v>Elite</v>
      </c>
      <c r="M443" s="9" t="str">
        <f>IFERROR(__xludf.DUMMYFUNCTION("""COMPUTED_VALUE"""),"Unami")</f>
        <v>Unami</v>
      </c>
      <c r="N443" s="9" t="str">
        <f>IFERROR(__xludf.DUMMYFUNCTION("""COMPUTED_VALUE"""),"Sweetened")</f>
        <v>Sweetened</v>
      </c>
      <c r="O443" s="9" t="str">
        <f>IFERROR(__xludf.DUMMYFUNCTION("""COMPUTED_VALUE"""),"Carton")</f>
        <v>Carton</v>
      </c>
      <c r="P443" s="9">
        <f>IFERROR(__xludf.DUMMYFUNCTION("""COMPUTED_VALUE"""),110.0)</f>
        <v>110</v>
      </c>
      <c r="Q443" s="9" t="str">
        <f>IFERROR(__xludf.DUMMYFUNCTION("""COMPUTED_VALUE"""),"Q3'23")</f>
        <v>Q3'23</v>
      </c>
      <c r="R443" s="9">
        <f>IFERROR(__xludf.DUMMYFUNCTION("""COMPUTED_VALUE"""),4.15335399880698)</f>
        <v>4.153353999</v>
      </c>
    </row>
    <row r="444" ht="14.25" customHeight="1">
      <c r="A444" s="3" t="s">
        <v>24</v>
      </c>
      <c r="B444" s="3" t="s">
        <v>11</v>
      </c>
      <c r="C444" s="3" t="s">
        <v>12</v>
      </c>
      <c r="D444" s="3" t="s">
        <v>13</v>
      </c>
      <c r="E444" s="3" t="s">
        <v>14</v>
      </c>
      <c r="F444" s="3">
        <v>110.0</v>
      </c>
      <c r="G444" s="4" t="s">
        <v>20</v>
      </c>
      <c r="H444" s="3">
        <v>10.689826202612059</v>
      </c>
      <c r="K444" s="9" t="str">
        <f>IFERROR(__xludf.DUMMYFUNCTION("""COMPUTED_VALUE"""),"TT Off Central")</f>
        <v>TT Off Central</v>
      </c>
      <c r="L444" s="9" t="str">
        <f>IFERROR(__xludf.DUMMYFUNCTION("""COMPUTED_VALUE"""),"Elite")</f>
        <v>Elite</v>
      </c>
      <c r="M444" s="9" t="str">
        <f>IFERROR(__xludf.DUMMYFUNCTION("""COMPUTED_VALUE"""),"Unami")</f>
        <v>Unami</v>
      </c>
      <c r="N444" s="9" t="str">
        <f>IFERROR(__xludf.DUMMYFUNCTION("""COMPUTED_VALUE"""),"Sweetened")</f>
        <v>Sweetened</v>
      </c>
      <c r="O444" s="9" t="str">
        <f>IFERROR(__xludf.DUMMYFUNCTION("""COMPUTED_VALUE"""),"Carton")</f>
        <v>Carton</v>
      </c>
      <c r="P444" s="9">
        <f>IFERROR(__xludf.DUMMYFUNCTION("""COMPUTED_VALUE"""),110.0)</f>
        <v>110</v>
      </c>
      <c r="Q444" s="9" t="str">
        <f>IFERROR(__xludf.DUMMYFUNCTION("""COMPUTED_VALUE"""),"Q4'23")</f>
        <v>Q4'23</v>
      </c>
      <c r="R444" s="9">
        <f>IFERROR(__xludf.DUMMYFUNCTION("""COMPUTED_VALUE"""),4.255456702028827)</f>
        <v>4.255456702</v>
      </c>
    </row>
    <row r="445" ht="14.25" customHeight="1">
      <c r="A445" s="3" t="s">
        <v>24</v>
      </c>
      <c r="B445" s="3" t="s">
        <v>11</v>
      </c>
      <c r="C445" s="3" t="s">
        <v>12</v>
      </c>
      <c r="D445" s="3" t="s">
        <v>13</v>
      </c>
      <c r="E445" s="3" t="s">
        <v>14</v>
      </c>
      <c r="F445" s="3">
        <v>110.0</v>
      </c>
      <c r="G445" s="4" t="s">
        <v>21</v>
      </c>
      <c r="H445" s="3">
        <v>11.8551932803626</v>
      </c>
      <c r="K445" s="9" t="str">
        <f>IFERROR(__xludf.DUMMYFUNCTION("""COMPUTED_VALUE"""),"TT Off Central")</f>
        <v>TT Off Central</v>
      </c>
      <c r="L445" s="9" t="str">
        <f>IFERROR(__xludf.DUMMYFUNCTION("""COMPUTED_VALUE"""),"Elite")</f>
        <v>Elite</v>
      </c>
      <c r="M445" s="9" t="str">
        <f>IFERROR(__xludf.DUMMYFUNCTION("""COMPUTED_VALUE"""),"Unami")</f>
        <v>Unami</v>
      </c>
      <c r="N445" s="9" t="str">
        <f>IFERROR(__xludf.DUMMYFUNCTION("""COMPUTED_VALUE"""),"Sweetened")</f>
        <v>Sweetened</v>
      </c>
      <c r="O445" s="9" t="str">
        <f>IFERROR(__xludf.DUMMYFUNCTION("""COMPUTED_VALUE"""),"Carton")</f>
        <v>Carton</v>
      </c>
      <c r="P445" s="9">
        <f>IFERROR(__xludf.DUMMYFUNCTION("""COMPUTED_VALUE"""),180.0)</f>
        <v>180</v>
      </c>
      <c r="Q445" s="9" t="str">
        <f>IFERROR(__xludf.DUMMYFUNCTION("""COMPUTED_VALUE"""),"Q1'22")</f>
        <v>Q1'22</v>
      </c>
      <c r="R445" s="9">
        <f>IFERROR(__xludf.DUMMYFUNCTION("""COMPUTED_VALUE"""),6.197727497955292)</f>
        <v>6.197727498</v>
      </c>
    </row>
    <row r="446" ht="14.25" customHeight="1">
      <c r="A446" s="3" t="s">
        <v>24</v>
      </c>
      <c r="B446" s="3" t="s">
        <v>11</v>
      </c>
      <c r="C446" s="3" t="s">
        <v>12</v>
      </c>
      <c r="D446" s="3" t="s">
        <v>13</v>
      </c>
      <c r="E446" s="3" t="s">
        <v>14</v>
      </c>
      <c r="F446" s="3">
        <v>110.0</v>
      </c>
      <c r="G446" s="4" t="s">
        <v>22</v>
      </c>
      <c r="H446" s="3">
        <v>12.697007790706044</v>
      </c>
      <c r="K446" s="9" t="str">
        <f>IFERROR(__xludf.DUMMYFUNCTION("""COMPUTED_VALUE"""),"TT Off Central")</f>
        <v>TT Off Central</v>
      </c>
      <c r="L446" s="9" t="str">
        <f>IFERROR(__xludf.DUMMYFUNCTION("""COMPUTED_VALUE"""),"Elite")</f>
        <v>Elite</v>
      </c>
      <c r="M446" s="9" t="str">
        <f>IFERROR(__xludf.DUMMYFUNCTION("""COMPUTED_VALUE"""),"Unami")</f>
        <v>Unami</v>
      </c>
      <c r="N446" s="9" t="str">
        <f>IFERROR(__xludf.DUMMYFUNCTION("""COMPUTED_VALUE"""),"Sweetened")</f>
        <v>Sweetened</v>
      </c>
      <c r="O446" s="9" t="str">
        <f>IFERROR(__xludf.DUMMYFUNCTION("""COMPUTED_VALUE"""),"Carton")</f>
        <v>Carton</v>
      </c>
      <c r="P446" s="9">
        <f>IFERROR(__xludf.DUMMYFUNCTION("""COMPUTED_VALUE"""),180.0)</f>
        <v>180</v>
      </c>
      <c r="Q446" s="9" t="str">
        <f>IFERROR(__xludf.DUMMYFUNCTION("""COMPUTED_VALUE"""),"Q2'22")</f>
        <v>Q2'22</v>
      </c>
      <c r="R446" s="9">
        <f>IFERROR(__xludf.DUMMYFUNCTION("""COMPUTED_VALUE"""),5.420568806790217)</f>
        <v>5.420568807</v>
      </c>
    </row>
    <row r="447" ht="14.25" customHeight="1">
      <c r="A447" s="3" t="s">
        <v>24</v>
      </c>
      <c r="B447" s="3" t="s">
        <v>11</v>
      </c>
      <c r="C447" s="3" t="s">
        <v>12</v>
      </c>
      <c r="D447" s="3" t="s">
        <v>13</v>
      </c>
      <c r="E447" s="3" t="s">
        <v>14</v>
      </c>
      <c r="F447" s="3">
        <v>180.0</v>
      </c>
      <c r="G447" s="4" t="s">
        <v>15</v>
      </c>
      <c r="H447" s="3">
        <v>7.525729860448516</v>
      </c>
      <c r="K447" s="9" t="str">
        <f>IFERROR(__xludf.DUMMYFUNCTION("""COMPUTED_VALUE"""),"TT Off Central")</f>
        <v>TT Off Central</v>
      </c>
      <c r="L447" s="9" t="str">
        <f>IFERROR(__xludf.DUMMYFUNCTION("""COMPUTED_VALUE"""),"Elite")</f>
        <v>Elite</v>
      </c>
      <c r="M447" s="9" t="str">
        <f>IFERROR(__xludf.DUMMYFUNCTION("""COMPUTED_VALUE"""),"Unami")</f>
        <v>Unami</v>
      </c>
      <c r="N447" s="9" t="str">
        <f>IFERROR(__xludf.DUMMYFUNCTION("""COMPUTED_VALUE"""),"Sweetened")</f>
        <v>Sweetened</v>
      </c>
      <c r="O447" s="9" t="str">
        <f>IFERROR(__xludf.DUMMYFUNCTION("""COMPUTED_VALUE"""),"Carton")</f>
        <v>Carton</v>
      </c>
      <c r="P447" s="9">
        <f>IFERROR(__xludf.DUMMYFUNCTION("""COMPUTED_VALUE"""),180.0)</f>
        <v>180</v>
      </c>
      <c r="Q447" s="9" t="str">
        <f>IFERROR(__xludf.DUMMYFUNCTION("""COMPUTED_VALUE"""),"Q3'22")</f>
        <v>Q3'22</v>
      </c>
      <c r="R447" s="9">
        <f>IFERROR(__xludf.DUMMYFUNCTION("""COMPUTED_VALUE"""),5.125322793701309)</f>
        <v>5.125322794</v>
      </c>
    </row>
    <row r="448" ht="14.25" customHeight="1">
      <c r="A448" s="3" t="s">
        <v>24</v>
      </c>
      <c r="B448" s="3" t="s">
        <v>11</v>
      </c>
      <c r="C448" s="3" t="s">
        <v>12</v>
      </c>
      <c r="D448" s="3" t="s">
        <v>13</v>
      </c>
      <c r="E448" s="3" t="s">
        <v>14</v>
      </c>
      <c r="F448" s="3">
        <v>180.0</v>
      </c>
      <c r="G448" s="4" t="s">
        <v>16</v>
      </c>
      <c r="H448" s="3">
        <v>8.098675665396035</v>
      </c>
      <c r="K448" s="9" t="str">
        <f>IFERROR(__xludf.DUMMYFUNCTION("""COMPUTED_VALUE"""),"TT Off Central")</f>
        <v>TT Off Central</v>
      </c>
      <c r="L448" s="9" t="str">
        <f>IFERROR(__xludf.DUMMYFUNCTION("""COMPUTED_VALUE"""),"Elite")</f>
        <v>Elite</v>
      </c>
      <c r="M448" s="9" t="str">
        <f>IFERROR(__xludf.DUMMYFUNCTION("""COMPUTED_VALUE"""),"Unami")</f>
        <v>Unami</v>
      </c>
      <c r="N448" s="9" t="str">
        <f>IFERROR(__xludf.DUMMYFUNCTION("""COMPUTED_VALUE"""),"Sweetened")</f>
        <v>Sweetened</v>
      </c>
      <c r="O448" s="9" t="str">
        <f>IFERROR(__xludf.DUMMYFUNCTION("""COMPUTED_VALUE"""),"Carton")</f>
        <v>Carton</v>
      </c>
      <c r="P448" s="9">
        <f>IFERROR(__xludf.DUMMYFUNCTION("""COMPUTED_VALUE"""),180.0)</f>
        <v>180</v>
      </c>
      <c r="Q448" s="9" t="str">
        <f>IFERROR(__xludf.DUMMYFUNCTION("""COMPUTED_VALUE"""),"Q4'22")</f>
        <v>Q4'22</v>
      </c>
      <c r="R448" s="9">
        <f>IFERROR(__xludf.DUMMYFUNCTION("""COMPUTED_VALUE"""),5.032734867144466)</f>
        <v>5.032734867</v>
      </c>
    </row>
    <row r="449" ht="14.25" customHeight="1">
      <c r="A449" s="3" t="s">
        <v>24</v>
      </c>
      <c r="B449" s="3" t="s">
        <v>11</v>
      </c>
      <c r="C449" s="3" t="s">
        <v>12</v>
      </c>
      <c r="D449" s="3" t="s">
        <v>13</v>
      </c>
      <c r="E449" s="3" t="s">
        <v>14</v>
      </c>
      <c r="F449" s="3">
        <v>180.0</v>
      </c>
      <c r="G449" s="4" t="s">
        <v>17</v>
      </c>
      <c r="H449" s="3">
        <v>8.131879581565931</v>
      </c>
      <c r="K449" s="9" t="str">
        <f>IFERROR(__xludf.DUMMYFUNCTION("""COMPUTED_VALUE"""),"TT Off Central")</f>
        <v>TT Off Central</v>
      </c>
      <c r="L449" s="9" t="str">
        <f>IFERROR(__xludf.DUMMYFUNCTION("""COMPUTED_VALUE"""),"Elite")</f>
        <v>Elite</v>
      </c>
      <c r="M449" s="9" t="str">
        <f>IFERROR(__xludf.DUMMYFUNCTION("""COMPUTED_VALUE"""),"Unami")</f>
        <v>Unami</v>
      </c>
      <c r="N449" s="9" t="str">
        <f>IFERROR(__xludf.DUMMYFUNCTION("""COMPUTED_VALUE"""),"Sweetened")</f>
        <v>Sweetened</v>
      </c>
      <c r="O449" s="9" t="str">
        <f>IFERROR(__xludf.DUMMYFUNCTION("""COMPUTED_VALUE"""),"Carton")</f>
        <v>Carton</v>
      </c>
      <c r="P449" s="9">
        <f>IFERROR(__xludf.DUMMYFUNCTION("""COMPUTED_VALUE"""),180.0)</f>
        <v>180</v>
      </c>
      <c r="Q449" s="9" t="str">
        <f>IFERROR(__xludf.DUMMYFUNCTION("""COMPUTED_VALUE"""),"Q1'23")</f>
        <v>Q1'23</v>
      </c>
      <c r="R449" s="9">
        <f>IFERROR(__xludf.DUMMYFUNCTION("""COMPUTED_VALUE"""),4.397122778480093)</f>
        <v>4.397122778</v>
      </c>
    </row>
    <row r="450" ht="14.25" customHeight="1">
      <c r="A450" s="3" t="s">
        <v>24</v>
      </c>
      <c r="B450" s="3" t="s">
        <v>11</v>
      </c>
      <c r="C450" s="3" t="s">
        <v>12</v>
      </c>
      <c r="D450" s="3" t="s">
        <v>13</v>
      </c>
      <c r="E450" s="3" t="s">
        <v>14</v>
      </c>
      <c r="F450" s="3">
        <v>180.0</v>
      </c>
      <c r="G450" s="4" t="s">
        <v>18</v>
      </c>
      <c r="H450" s="3">
        <v>6.626850479008864</v>
      </c>
      <c r="K450" s="9" t="str">
        <f>IFERROR(__xludf.DUMMYFUNCTION("""COMPUTED_VALUE"""),"TT Off Central")</f>
        <v>TT Off Central</v>
      </c>
      <c r="L450" s="9" t="str">
        <f>IFERROR(__xludf.DUMMYFUNCTION("""COMPUTED_VALUE"""),"Elite")</f>
        <v>Elite</v>
      </c>
      <c r="M450" s="9" t="str">
        <f>IFERROR(__xludf.DUMMYFUNCTION("""COMPUTED_VALUE"""),"Unami")</f>
        <v>Unami</v>
      </c>
      <c r="N450" s="9" t="str">
        <f>IFERROR(__xludf.DUMMYFUNCTION("""COMPUTED_VALUE"""),"Sweetened")</f>
        <v>Sweetened</v>
      </c>
      <c r="O450" s="9" t="str">
        <f>IFERROR(__xludf.DUMMYFUNCTION("""COMPUTED_VALUE"""),"Carton")</f>
        <v>Carton</v>
      </c>
      <c r="P450" s="9">
        <f>IFERROR(__xludf.DUMMYFUNCTION("""COMPUTED_VALUE"""),180.0)</f>
        <v>180</v>
      </c>
      <c r="Q450" s="9" t="str">
        <f>IFERROR(__xludf.DUMMYFUNCTION("""COMPUTED_VALUE"""),"Q2'23")</f>
        <v>Q2'23</v>
      </c>
      <c r="R450" s="9">
        <f>IFERROR(__xludf.DUMMYFUNCTION("""COMPUTED_VALUE"""),4.075036574650778)</f>
        <v>4.075036575</v>
      </c>
    </row>
    <row r="451" ht="14.25" customHeight="1">
      <c r="A451" s="3" t="s">
        <v>24</v>
      </c>
      <c r="B451" s="3" t="s">
        <v>11</v>
      </c>
      <c r="C451" s="3" t="s">
        <v>12</v>
      </c>
      <c r="D451" s="3" t="s">
        <v>13</v>
      </c>
      <c r="E451" s="3" t="s">
        <v>14</v>
      </c>
      <c r="F451" s="3">
        <v>180.0</v>
      </c>
      <c r="G451" s="4" t="s">
        <v>19</v>
      </c>
      <c r="H451" s="3">
        <v>6.442293935231539</v>
      </c>
      <c r="K451" s="9" t="str">
        <f>IFERROR(__xludf.DUMMYFUNCTION("""COMPUTED_VALUE"""),"TT Off Central")</f>
        <v>TT Off Central</v>
      </c>
      <c r="L451" s="9" t="str">
        <f>IFERROR(__xludf.DUMMYFUNCTION("""COMPUTED_VALUE"""),"Elite")</f>
        <v>Elite</v>
      </c>
      <c r="M451" s="9" t="str">
        <f>IFERROR(__xludf.DUMMYFUNCTION("""COMPUTED_VALUE"""),"Unami")</f>
        <v>Unami</v>
      </c>
      <c r="N451" s="9" t="str">
        <f>IFERROR(__xludf.DUMMYFUNCTION("""COMPUTED_VALUE"""),"Sweetened")</f>
        <v>Sweetened</v>
      </c>
      <c r="O451" s="9" t="str">
        <f>IFERROR(__xludf.DUMMYFUNCTION("""COMPUTED_VALUE"""),"Carton")</f>
        <v>Carton</v>
      </c>
      <c r="P451" s="9">
        <f>IFERROR(__xludf.DUMMYFUNCTION("""COMPUTED_VALUE"""),180.0)</f>
        <v>180</v>
      </c>
      <c r="Q451" s="9" t="str">
        <f>IFERROR(__xludf.DUMMYFUNCTION("""COMPUTED_VALUE"""),"Q3'23")</f>
        <v>Q3'23</v>
      </c>
      <c r="R451" s="9">
        <f>IFERROR(__xludf.DUMMYFUNCTION("""COMPUTED_VALUE"""),4.024855350089827)</f>
        <v>4.02485535</v>
      </c>
    </row>
    <row r="452" ht="14.25" customHeight="1">
      <c r="A452" s="3" t="s">
        <v>24</v>
      </c>
      <c r="B452" s="3" t="s">
        <v>11</v>
      </c>
      <c r="C452" s="3" t="s">
        <v>12</v>
      </c>
      <c r="D452" s="3" t="s">
        <v>13</v>
      </c>
      <c r="E452" s="3" t="s">
        <v>14</v>
      </c>
      <c r="F452" s="3">
        <v>180.0</v>
      </c>
      <c r="G452" s="4" t="s">
        <v>20</v>
      </c>
      <c r="H452" s="3">
        <v>5.7807266392461</v>
      </c>
      <c r="K452" s="9" t="str">
        <f>IFERROR(__xludf.DUMMYFUNCTION("""COMPUTED_VALUE"""),"TT Off Central")</f>
        <v>TT Off Central</v>
      </c>
      <c r="L452" s="9" t="str">
        <f>IFERROR(__xludf.DUMMYFUNCTION("""COMPUTED_VALUE"""),"Elite")</f>
        <v>Elite</v>
      </c>
      <c r="M452" s="9" t="str">
        <f>IFERROR(__xludf.DUMMYFUNCTION("""COMPUTED_VALUE"""),"Unami")</f>
        <v>Unami</v>
      </c>
      <c r="N452" s="9" t="str">
        <f>IFERROR(__xludf.DUMMYFUNCTION("""COMPUTED_VALUE"""),"Sweetened")</f>
        <v>Sweetened</v>
      </c>
      <c r="O452" s="9" t="str">
        <f>IFERROR(__xludf.DUMMYFUNCTION("""COMPUTED_VALUE"""),"Carton")</f>
        <v>Carton</v>
      </c>
      <c r="P452" s="9">
        <f>IFERROR(__xludf.DUMMYFUNCTION("""COMPUTED_VALUE"""),180.0)</f>
        <v>180</v>
      </c>
      <c r="Q452" s="9" t="str">
        <f>IFERROR(__xludf.DUMMYFUNCTION("""COMPUTED_VALUE"""),"Q4'23")</f>
        <v>Q4'23</v>
      </c>
      <c r="R452" s="9">
        <f>IFERROR(__xludf.DUMMYFUNCTION("""COMPUTED_VALUE"""),3.451652846755953)</f>
        <v>3.451652847</v>
      </c>
    </row>
    <row r="453" ht="14.25" customHeight="1">
      <c r="A453" s="3" t="s">
        <v>24</v>
      </c>
      <c r="B453" s="3" t="s">
        <v>11</v>
      </c>
      <c r="C453" s="3" t="s">
        <v>12</v>
      </c>
      <c r="D453" s="3" t="s">
        <v>13</v>
      </c>
      <c r="E453" s="3" t="s">
        <v>14</v>
      </c>
      <c r="F453" s="3">
        <v>180.0</v>
      </c>
      <c r="G453" s="4" t="s">
        <v>21</v>
      </c>
      <c r="H453" s="3">
        <v>5.700181859267979</v>
      </c>
      <c r="K453" s="9" t="str">
        <f>IFERROR(__xludf.DUMMYFUNCTION("""COMPUTED_VALUE"""),"TT Off Central")</f>
        <v>TT Off Central</v>
      </c>
      <c r="L453" s="9" t="str">
        <f>IFERROR(__xludf.DUMMYFUNCTION("""COMPUTED_VALUE"""),"Elite")</f>
        <v>Elite</v>
      </c>
      <c r="M453" s="9" t="str">
        <f>IFERROR(__xludf.DUMMYFUNCTION("""COMPUTED_VALUE"""),"Unami")</f>
        <v>Unami</v>
      </c>
      <c r="N453" s="9" t="str">
        <f>IFERROR(__xludf.DUMMYFUNCTION("""COMPUTED_VALUE"""),"Sweetened")</f>
        <v>Sweetened</v>
      </c>
      <c r="O453" s="9" t="str">
        <f>IFERROR(__xludf.DUMMYFUNCTION("""COMPUTED_VALUE"""),"TFA")</f>
        <v>TFA</v>
      </c>
      <c r="P453" s="9">
        <f>IFERROR(__xludf.DUMMYFUNCTION("""COMPUTED_VALUE"""),220.0)</f>
        <v>220</v>
      </c>
      <c r="Q453" s="9" t="str">
        <f>IFERROR(__xludf.DUMMYFUNCTION("""COMPUTED_VALUE"""),"Q1'22")</f>
        <v>Q1'22</v>
      </c>
      <c r="R453" s="9">
        <f>IFERROR(__xludf.DUMMYFUNCTION("""COMPUTED_VALUE"""),9.036723892575763)</f>
        <v>9.036723893</v>
      </c>
    </row>
    <row r="454" ht="14.25" customHeight="1">
      <c r="A454" s="3" t="s">
        <v>24</v>
      </c>
      <c r="B454" s="3" t="s">
        <v>11</v>
      </c>
      <c r="C454" s="3" t="s">
        <v>12</v>
      </c>
      <c r="D454" s="3" t="s">
        <v>13</v>
      </c>
      <c r="E454" s="3" t="s">
        <v>14</v>
      </c>
      <c r="F454" s="3">
        <v>180.0</v>
      </c>
      <c r="G454" s="4" t="s">
        <v>22</v>
      </c>
      <c r="H454" s="3">
        <v>6.075348883458802</v>
      </c>
      <c r="K454" s="9" t="str">
        <f>IFERROR(__xludf.DUMMYFUNCTION("""COMPUTED_VALUE"""),"TT Off Central")</f>
        <v>TT Off Central</v>
      </c>
      <c r="L454" s="9" t="str">
        <f>IFERROR(__xludf.DUMMYFUNCTION("""COMPUTED_VALUE"""),"Elite")</f>
        <v>Elite</v>
      </c>
      <c r="M454" s="9" t="str">
        <f>IFERROR(__xludf.DUMMYFUNCTION("""COMPUTED_VALUE"""),"Unami")</f>
        <v>Unami</v>
      </c>
      <c r="N454" s="9" t="str">
        <f>IFERROR(__xludf.DUMMYFUNCTION("""COMPUTED_VALUE"""),"Sweetened")</f>
        <v>Sweetened</v>
      </c>
      <c r="O454" s="9" t="str">
        <f>IFERROR(__xludf.DUMMYFUNCTION("""COMPUTED_VALUE"""),"TFA")</f>
        <v>TFA</v>
      </c>
      <c r="P454" s="9">
        <f>IFERROR(__xludf.DUMMYFUNCTION("""COMPUTED_VALUE"""),220.0)</f>
        <v>220</v>
      </c>
      <c r="Q454" s="9" t="str">
        <f>IFERROR(__xludf.DUMMYFUNCTION("""COMPUTED_VALUE"""),"Q2'22")</f>
        <v>Q2'22</v>
      </c>
      <c r="R454" s="9">
        <f>IFERROR(__xludf.DUMMYFUNCTION("""COMPUTED_VALUE"""),8.363362407075703)</f>
        <v>8.363362407</v>
      </c>
    </row>
    <row r="455" ht="14.25" customHeight="1">
      <c r="A455" s="3" t="s">
        <v>24</v>
      </c>
      <c r="B455" s="3" t="s">
        <v>11</v>
      </c>
      <c r="C455" s="3" t="s">
        <v>12</v>
      </c>
      <c r="D455" s="3" t="s">
        <v>13</v>
      </c>
      <c r="E455" s="3" t="s">
        <v>29</v>
      </c>
      <c r="F455" s="3">
        <v>220.0</v>
      </c>
      <c r="G455" s="4" t="s">
        <v>17</v>
      </c>
      <c r="H455" s="3">
        <v>0.3221609723429863</v>
      </c>
      <c r="K455" s="9" t="str">
        <f>IFERROR(__xludf.DUMMYFUNCTION("""COMPUTED_VALUE"""),"TT Off Central")</f>
        <v>TT Off Central</v>
      </c>
      <c r="L455" s="9" t="str">
        <f>IFERROR(__xludf.DUMMYFUNCTION("""COMPUTED_VALUE"""),"Elite")</f>
        <v>Elite</v>
      </c>
      <c r="M455" s="9" t="str">
        <f>IFERROR(__xludf.DUMMYFUNCTION("""COMPUTED_VALUE"""),"Unami")</f>
        <v>Unami</v>
      </c>
      <c r="N455" s="9" t="str">
        <f>IFERROR(__xludf.DUMMYFUNCTION("""COMPUTED_VALUE"""),"Sweetened")</f>
        <v>Sweetened</v>
      </c>
      <c r="O455" s="9" t="str">
        <f>IFERROR(__xludf.DUMMYFUNCTION("""COMPUTED_VALUE"""),"TFA")</f>
        <v>TFA</v>
      </c>
      <c r="P455" s="9">
        <f>IFERROR(__xludf.DUMMYFUNCTION("""COMPUTED_VALUE"""),220.0)</f>
        <v>220</v>
      </c>
      <c r="Q455" s="9" t="str">
        <f>IFERROR(__xludf.DUMMYFUNCTION("""COMPUTED_VALUE"""),"Q3'22")</f>
        <v>Q3'22</v>
      </c>
      <c r="R455" s="9">
        <f>IFERROR(__xludf.DUMMYFUNCTION("""COMPUTED_VALUE"""),8.10310490933453)</f>
        <v>8.103104909</v>
      </c>
    </row>
    <row r="456" ht="14.25" customHeight="1">
      <c r="A456" s="3" t="s">
        <v>24</v>
      </c>
      <c r="B456" s="3" t="s">
        <v>11</v>
      </c>
      <c r="C456" s="3" t="s">
        <v>12</v>
      </c>
      <c r="D456" s="3" t="s">
        <v>13</v>
      </c>
      <c r="E456" s="3" t="s">
        <v>29</v>
      </c>
      <c r="F456" s="3">
        <v>220.0</v>
      </c>
      <c r="G456" s="4" t="s">
        <v>18</v>
      </c>
      <c r="H456" s="3">
        <v>1.5240135817892495</v>
      </c>
      <c r="K456" s="9" t="str">
        <f>IFERROR(__xludf.DUMMYFUNCTION("""COMPUTED_VALUE"""),"TT Off Central")</f>
        <v>TT Off Central</v>
      </c>
      <c r="L456" s="9" t="str">
        <f>IFERROR(__xludf.DUMMYFUNCTION("""COMPUTED_VALUE"""),"Elite")</f>
        <v>Elite</v>
      </c>
      <c r="M456" s="9" t="str">
        <f>IFERROR(__xludf.DUMMYFUNCTION("""COMPUTED_VALUE"""),"Unami")</f>
        <v>Unami</v>
      </c>
      <c r="N456" s="9" t="str">
        <f>IFERROR(__xludf.DUMMYFUNCTION("""COMPUTED_VALUE"""),"Sweetened")</f>
        <v>Sweetened</v>
      </c>
      <c r="O456" s="9" t="str">
        <f>IFERROR(__xludf.DUMMYFUNCTION("""COMPUTED_VALUE"""),"TFA")</f>
        <v>TFA</v>
      </c>
      <c r="P456" s="9">
        <f>IFERROR(__xludf.DUMMYFUNCTION("""COMPUTED_VALUE"""),220.0)</f>
        <v>220</v>
      </c>
      <c r="Q456" s="9" t="str">
        <f>IFERROR(__xludf.DUMMYFUNCTION("""COMPUTED_VALUE"""),"Q4'22")</f>
        <v>Q4'22</v>
      </c>
      <c r="R456" s="9">
        <f>IFERROR(__xludf.DUMMYFUNCTION("""COMPUTED_VALUE"""),8.714277795342985)</f>
        <v>8.714277795</v>
      </c>
    </row>
    <row r="457" ht="14.25" customHeight="1">
      <c r="A457" s="3" t="s">
        <v>24</v>
      </c>
      <c r="B457" s="3" t="s">
        <v>11</v>
      </c>
      <c r="C457" s="3" t="s">
        <v>12</v>
      </c>
      <c r="D457" s="3" t="s">
        <v>13</v>
      </c>
      <c r="E457" s="3" t="s">
        <v>29</v>
      </c>
      <c r="F457" s="3">
        <v>220.0</v>
      </c>
      <c r="G457" s="4" t="s">
        <v>19</v>
      </c>
      <c r="H457" s="3">
        <v>1.7218973469047745</v>
      </c>
      <c r="K457" s="9" t="str">
        <f>IFERROR(__xludf.DUMMYFUNCTION("""COMPUTED_VALUE"""),"TT Off Central")</f>
        <v>TT Off Central</v>
      </c>
      <c r="L457" s="9" t="str">
        <f>IFERROR(__xludf.DUMMYFUNCTION("""COMPUTED_VALUE"""),"Elite")</f>
        <v>Elite</v>
      </c>
      <c r="M457" s="9" t="str">
        <f>IFERROR(__xludf.DUMMYFUNCTION("""COMPUTED_VALUE"""),"Unami")</f>
        <v>Unami</v>
      </c>
      <c r="N457" s="9" t="str">
        <f>IFERROR(__xludf.DUMMYFUNCTION("""COMPUTED_VALUE"""),"Sweetened")</f>
        <v>Sweetened</v>
      </c>
      <c r="O457" s="9" t="str">
        <f>IFERROR(__xludf.DUMMYFUNCTION("""COMPUTED_VALUE"""),"TFA")</f>
        <v>TFA</v>
      </c>
      <c r="P457" s="9">
        <f>IFERROR(__xludf.DUMMYFUNCTION("""COMPUTED_VALUE"""),220.0)</f>
        <v>220</v>
      </c>
      <c r="Q457" s="9" t="str">
        <f>IFERROR(__xludf.DUMMYFUNCTION("""COMPUTED_VALUE"""),"Q1'23")</f>
        <v>Q1'23</v>
      </c>
      <c r="R457" s="9">
        <f>IFERROR(__xludf.DUMMYFUNCTION("""COMPUTED_VALUE"""),8.761265118035105)</f>
        <v>8.761265118</v>
      </c>
    </row>
    <row r="458" ht="14.25" customHeight="1">
      <c r="A458" s="3" t="s">
        <v>24</v>
      </c>
      <c r="B458" s="3" t="s">
        <v>11</v>
      </c>
      <c r="C458" s="3" t="s">
        <v>12</v>
      </c>
      <c r="D458" s="3" t="s">
        <v>13</v>
      </c>
      <c r="E458" s="3" t="s">
        <v>29</v>
      </c>
      <c r="F458" s="3">
        <v>220.0</v>
      </c>
      <c r="G458" s="4" t="s">
        <v>20</v>
      </c>
      <c r="H458" s="3">
        <v>2.235051388622674</v>
      </c>
      <c r="K458" s="9" t="str">
        <f>IFERROR(__xludf.DUMMYFUNCTION("""COMPUTED_VALUE"""),"TT Off Central")</f>
        <v>TT Off Central</v>
      </c>
      <c r="L458" s="9" t="str">
        <f>IFERROR(__xludf.DUMMYFUNCTION("""COMPUTED_VALUE"""),"Elite")</f>
        <v>Elite</v>
      </c>
      <c r="M458" s="9" t="str">
        <f>IFERROR(__xludf.DUMMYFUNCTION("""COMPUTED_VALUE"""),"Unami")</f>
        <v>Unami</v>
      </c>
      <c r="N458" s="9" t="str">
        <f>IFERROR(__xludf.DUMMYFUNCTION("""COMPUTED_VALUE"""),"Sweetened")</f>
        <v>Sweetened</v>
      </c>
      <c r="O458" s="9" t="str">
        <f>IFERROR(__xludf.DUMMYFUNCTION("""COMPUTED_VALUE"""),"TFA")</f>
        <v>TFA</v>
      </c>
      <c r="P458" s="9">
        <f>IFERROR(__xludf.DUMMYFUNCTION("""COMPUTED_VALUE"""),220.0)</f>
        <v>220</v>
      </c>
      <c r="Q458" s="9" t="str">
        <f>IFERROR(__xludf.DUMMYFUNCTION("""COMPUTED_VALUE"""),"Q2'23")</f>
        <v>Q2'23</v>
      </c>
      <c r="R458" s="9">
        <f>IFERROR(__xludf.DUMMYFUNCTION("""COMPUTED_VALUE"""),9.055877847432939)</f>
        <v>9.055877847</v>
      </c>
    </row>
    <row r="459" ht="14.25" customHeight="1">
      <c r="A459" s="3" t="s">
        <v>24</v>
      </c>
      <c r="B459" s="3" t="s">
        <v>11</v>
      </c>
      <c r="C459" s="3" t="s">
        <v>12</v>
      </c>
      <c r="D459" s="3" t="s">
        <v>13</v>
      </c>
      <c r="E459" s="3" t="s">
        <v>29</v>
      </c>
      <c r="F459" s="3">
        <v>220.0</v>
      </c>
      <c r="G459" s="4" t="s">
        <v>21</v>
      </c>
      <c r="H459" s="3">
        <v>2.1119738832211663</v>
      </c>
      <c r="K459" s="9" t="str">
        <f>IFERROR(__xludf.DUMMYFUNCTION("""COMPUTED_VALUE"""),"TT Off Central")</f>
        <v>TT Off Central</v>
      </c>
      <c r="L459" s="9" t="str">
        <f>IFERROR(__xludf.DUMMYFUNCTION("""COMPUTED_VALUE"""),"Elite")</f>
        <v>Elite</v>
      </c>
      <c r="M459" s="9" t="str">
        <f>IFERROR(__xludf.DUMMYFUNCTION("""COMPUTED_VALUE"""),"Unami")</f>
        <v>Unami</v>
      </c>
      <c r="N459" s="9" t="str">
        <f>IFERROR(__xludf.DUMMYFUNCTION("""COMPUTED_VALUE"""),"Sweetened")</f>
        <v>Sweetened</v>
      </c>
      <c r="O459" s="9" t="str">
        <f>IFERROR(__xludf.DUMMYFUNCTION("""COMPUTED_VALUE"""),"TFA")</f>
        <v>TFA</v>
      </c>
      <c r="P459" s="9">
        <f>IFERROR(__xludf.DUMMYFUNCTION("""COMPUTED_VALUE"""),220.0)</f>
        <v>220</v>
      </c>
      <c r="Q459" s="9" t="str">
        <f>IFERROR(__xludf.DUMMYFUNCTION("""COMPUTED_VALUE"""),"Q3'23")</f>
        <v>Q3'23</v>
      </c>
      <c r="R459" s="9">
        <f>IFERROR(__xludf.DUMMYFUNCTION("""COMPUTED_VALUE"""),9.415373616239178)</f>
        <v>9.415373616</v>
      </c>
    </row>
    <row r="460" ht="14.25" customHeight="1">
      <c r="A460" s="3" t="s">
        <v>24</v>
      </c>
      <c r="B460" s="3" t="s">
        <v>11</v>
      </c>
      <c r="C460" s="3" t="s">
        <v>12</v>
      </c>
      <c r="D460" s="3" t="s">
        <v>13</v>
      </c>
      <c r="E460" s="3" t="s">
        <v>29</v>
      </c>
      <c r="F460" s="3">
        <v>220.0</v>
      </c>
      <c r="G460" s="4" t="s">
        <v>22</v>
      </c>
      <c r="H460" s="3">
        <v>1.6913621633126843</v>
      </c>
      <c r="K460" s="9" t="str">
        <f>IFERROR(__xludf.DUMMYFUNCTION("""COMPUTED_VALUE"""),"TT Off Central")</f>
        <v>TT Off Central</v>
      </c>
      <c r="L460" s="9" t="str">
        <f>IFERROR(__xludf.DUMMYFUNCTION("""COMPUTED_VALUE"""),"Elite")</f>
        <v>Elite</v>
      </c>
      <c r="M460" s="9" t="str">
        <f>IFERROR(__xludf.DUMMYFUNCTION("""COMPUTED_VALUE"""),"Unami")</f>
        <v>Unami</v>
      </c>
      <c r="N460" s="9" t="str">
        <f>IFERROR(__xludf.DUMMYFUNCTION("""COMPUTED_VALUE"""),"Sweetened")</f>
        <v>Sweetened</v>
      </c>
      <c r="O460" s="9" t="str">
        <f>IFERROR(__xludf.DUMMYFUNCTION("""COMPUTED_VALUE"""),"TFA")</f>
        <v>TFA</v>
      </c>
      <c r="P460" s="9">
        <f>IFERROR(__xludf.DUMMYFUNCTION("""COMPUTED_VALUE"""),220.0)</f>
        <v>220</v>
      </c>
      <c r="Q460" s="9" t="str">
        <f>IFERROR(__xludf.DUMMYFUNCTION("""COMPUTED_VALUE"""),"Q4'23")</f>
        <v>Q4'23</v>
      </c>
      <c r="R460" s="9">
        <f>IFERROR(__xludf.DUMMYFUNCTION("""COMPUTED_VALUE"""),8.889966726817566)</f>
        <v>8.889966727</v>
      </c>
    </row>
    <row r="461" ht="14.25" customHeight="1">
      <c r="A461" s="3" t="s">
        <v>24</v>
      </c>
      <c r="B461" s="6" t="s">
        <v>38</v>
      </c>
      <c r="C461" s="3" t="s">
        <v>39</v>
      </c>
      <c r="D461" s="3" t="s">
        <v>13</v>
      </c>
      <c r="E461" s="3" t="s">
        <v>14</v>
      </c>
      <c r="F461" s="3">
        <v>110.0</v>
      </c>
      <c r="G461" s="4" t="s">
        <v>15</v>
      </c>
      <c r="H461" s="3">
        <v>1.6051592113999893</v>
      </c>
      <c r="K461" s="9" t="str">
        <f>IFERROR(__xludf.DUMMYFUNCTION("""COMPUTED_VALUE"""),"TT Off Central")</f>
        <v>TT Off Central</v>
      </c>
      <c r="L461" s="9" t="str">
        <f>IFERROR(__xludf.DUMMYFUNCTION("""COMPUTED_VALUE"""),"Joyi")</f>
        <v>Joyi</v>
      </c>
      <c r="M461" s="9" t="str">
        <f>IFERROR(__xludf.DUMMYFUNCTION("""COMPUTED_VALUE"""),"Smartmilk")</f>
        <v>Smartmilk</v>
      </c>
      <c r="N461" s="9" t="str">
        <f>IFERROR(__xludf.DUMMYFUNCTION("""COMPUTED_VALUE"""),"Sweetened")</f>
        <v>Sweetened</v>
      </c>
      <c r="O461" s="9" t="str">
        <f>IFERROR(__xludf.DUMMYFUNCTION("""COMPUTED_VALUE"""),"Carton")</f>
        <v>Carton</v>
      </c>
      <c r="P461" s="9">
        <f>IFERROR(__xludf.DUMMYFUNCTION("""COMPUTED_VALUE"""),110.0)</f>
        <v>110</v>
      </c>
      <c r="Q461" s="9" t="str">
        <f>IFERROR(__xludf.DUMMYFUNCTION("""COMPUTED_VALUE"""),"Q1'22")</f>
        <v>Q1'22</v>
      </c>
      <c r="R461" s="9">
        <f>IFERROR(__xludf.DUMMYFUNCTION("""COMPUTED_VALUE"""),2.6779508882144207)</f>
        <v>2.677950888</v>
      </c>
    </row>
    <row r="462" ht="14.25" customHeight="1">
      <c r="A462" s="3" t="s">
        <v>24</v>
      </c>
      <c r="B462" s="6" t="s">
        <v>38</v>
      </c>
      <c r="C462" s="3" t="s">
        <v>39</v>
      </c>
      <c r="D462" s="3" t="s">
        <v>13</v>
      </c>
      <c r="E462" s="3" t="s">
        <v>14</v>
      </c>
      <c r="F462" s="3">
        <v>110.0</v>
      </c>
      <c r="G462" s="4" t="s">
        <v>16</v>
      </c>
      <c r="H462" s="3">
        <v>1.1615325482939785</v>
      </c>
      <c r="K462" s="9" t="str">
        <f>IFERROR(__xludf.DUMMYFUNCTION("""COMPUTED_VALUE"""),"TT Off Central")</f>
        <v>TT Off Central</v>
      </c>
      <c r="L462" s="9" t="str">
        <f>IFERROR(__xludf.DUMMYFUNCTION("""COMPUTED_VALUE"""),"Joyi")</f>
        <v>Joyi</v>
      </c>
      <c r="M462" s="9" t="str">
        <f>IFERROR(__xludf.DUMMYFUNCTION("""COMPUTED_VALUE"""),"Smartmilk")</f>
        <v>Smartmilk</v>
      </c>
      <c r="N462" s="9" t="str">
        <f>IFERROR(__xludf.DUMMYFUNCTION("""COMPUTED_VALUE"""),"Sweetened")</f>
        <v>Sweetened</v>
      </c>
      <c r="O462" s="9" t="str">
        <f>IFERROR(__xludf.DUMMYFUNCTION("""COMPUTED_VALUE"""),"Carton")</f>
        <v>Carton</v>
      </c>
      <c r="P462" s="9">
        <f>IFERROR(__xludf.DUMMYFUNCTION("""COMPUTED_VALUE"""),110.0)</f>
        <v>110</v>
      </c>
      <c r="Q462" s="9" t="str">
        <f>IFERROR(__xludf.DUMMYFUNCTION("""COMPUTED_VALUE"""),"Q2'22")</f>
        <v>Q2'22</v>
      </c>
      <c r="R462" s="9">
        <f>IFERROR(__xludf.DUMMYFUNCTION("""COMPUTED_VALUE"""),2.7246925829988156)</f>
        <v>2.724692583</v>
      </c>
    </row>
    <row r="463" ht="14.25" customHeight="1">
      <c r="A463" s="3" t="s">
        <v>24</v>
      </c>
      <c r="B463" s="6" t="s">
        <v>38</v>
      </c>
      <c r="C463" s="3" t="s">
        <v>39</v>
      </c>
      <c r="D463" s="3" t="s">
        <v>13</v>
      </c>
      <c r="E463" s="3" t="s">
        <v>14</v>
      </c>
      <c r="F463" s="3">
        <v>110.0</v>
      </c>
      <c r="G463" s="4" t="s">
        <v>17</v>
      </c>
      <c r="H463" s="3">
        <v>1.4431070637650982</v>
      </c>
      <c r="K463" s="9" t="str">
        <f>IFERROR(__xludf.DUMMYFUNCTION("""COMPUTED_VALUE"""),"TT Off Central")</f>
        <v>TT Off Central</v>
      </c>
      <c r="L463" s="9" t="str">
        <f>IFERROR(__xludf.DUMMYFUNCTION("""COMPUTED_VALUE"""),"Joyi")</f>
        <v>Joyi</v>
      </c>
      <c r="M463" s="9" t="str">
        <f>IFERROR(__xludf.DUMMYFUNCTION("""COMPUTED_VALUE"""),"Smartmilk")</f>
        <v>Smartmilk</v>
      </c>
      <c r="N463" s="9" t="str">
        <f>IFERROR(__xludf.DUMMYFUNCTION("""COMPUTED_VALUE"""),"Sweetened")</f>
        <v>Sweetened</v>
      </c>
      <c r="O463" s="9" t="str">
        <f>IFERROR(__xludf.DUMMYFUNCTION("""COMPUTED_VALUE"""),"Carton")</f>
        <v>Carton</v>
      </c>
      <c r="P463" s="9">
        <f>IFERROR(__xludf.DUMMYFUNCTION("""COMPUTED_VALUE"""),110.0)</f>
        <v>110</v>
      </c>
      <c r="Q463" s="9" t="str">
        <f>IFERROR(__xludf.DUMMYFUNCTION("""COMPUTED_VALUE"""),"Q3'22")</f>
        <v>Q3'22</v>
      </c>
      <c r="R463" s="9">
        <f>IFERROR(__xludf.DUMMYFUNCTION("""COMPUTED_VALUE"""),2.5825451182551045)</f>
        <v>2.582545118</v>
      </c>
    </row>
    <row r="464" ht="14.25" customHeight="1">
      <c r="A464" s="3" t="s">
        <v>24</v>
      </c>
      <c r="B464" s="6" t="s">
        <v>38</v>
      </c>
      <c r="C464" s="3" t="s">
        <v>39</v>
      </c>
      <c r="D464" s="3" t="s">
        <v>13</v>
      </c>
      <c r="E464" s="3" t="s">
        <v>14</v>
      </c>
      <c r="F464" s="3">
        <v>110.0</v>
      </c>
      <c r="G464" s="4" t="s">
        <v>18</v>
      </c>
      <c r="H464" s="3">
        <v>1.6774153856913614</v>
      </c>
      <c r="K464" s="9" t="str">
        <f>IFERROR(__xludf.DUMMYFUNCTION("""COMPUTED_VALUE"""),"TT Off Central")</f>
        <v>TT Off Central</v>
      </c>
      <c r="L464" s="9" t="str">
        <f>IFERROR(__xludf.DUMMYFUNCTION("""COMPUTED_VALUE"""),"Joyi")</f>
        <v>Joyi</v>
      </c>
      <c r="M464" s="9" t="str">
        <f>IFERROR(__xludf.DUMMYFUNCTION("""COMPUTED_VALUE"""),"Smartmilk")</f>
        <v>Smartmilk</v>
      </c>
      <c r="N464" s="9" t="str">
        <f>IFERROR(__xludf.DUMMYFUNCTION("""COMPUTED_VALUE"""),"Sweetened")</f>
        <v>Sweetened</v>
      </c>
      <c r="O464" s="9" t="str">
        <f>IFERROR(__xludf.DUMMYFUNCTION("""COMPUTED_VALUE"""),"Carton")</f>
        <v>Carton</v>
      </c>
      <c r="P464" s="9">
        <f>IFERROR(__xludf.DUMMYFUNCTION("""COMPUTED_VALUE"""),110.0)</f>
        <v>110</v>
      </c>
      <c r="Q464" s="9" t="str">
        <f>IFERROR(__xludf.DUMMYFUNCTION("""COMPUTED_VALUE"""),"Q4'22")</f>
        <v>Q4'22</v>
      </c>
      <c r="R464" s="9">
        <f>IFERROR(__xludf.DUMMYFUNCTION("""COMPUTED_VALUE"""),2.616181090406521)</f>
        <v>2.61618109</v>
      </c>
    </row>
    <row r="465" ht="14.25" customHeight="1">
      <c r="A465" s="3" t="s">
        <v>24</v>
      </c>
      <c r="B465" s="6" t="s">
        <v>38</v>
      </c>
      <c r="C465" s="3" t="s">
        <v>39</v>
      </c>
      <c r="D465" s="3" t="s">
        <v>13</v>
      </c>
      <c r="E465" s="3" t="s">
        <v>14</v>
      </c>
      <c r="F465" s="3">
        <v>110.0</v>
      </c>
      <c r="G465" s="4" t="s">
        <v>19</v>
      </c>
      <c r="H465" s="3">
        <v>1.7397540775425955</v>
      </c>
      <c r="K465" s="9" t="str">
        <f>IFERROR(__xludf.DUMMYFUNCTION("""COMPUTED_VALUE"""),"TT Off Central")</f>
        <v>TT Off Central</v>
      </c>
      <c r="L465" s="9" t="str">
        <f>IFERROR(__xludf.DUMMYFUNCTION("""COMPUTED_VALUE"""),"Joyi")</f>
        <v>Joyi</v>
      </c>
      <c r="M465" s="9" t="str">
        <f>IFERROR(__xludf.DUMMYFUNCTION("""COMPUTED_VALUE"""),"Smartmilk")</f>
        <v>Smartmilk</v>
      </c>
      <c r="N465" s="9" t="str">
        <f>IFERROR(__xludf.DUMMYFUNCTION("""COMPUTED_VALUE"""),"Sweetened")</f>
        <v>Sweetened</v>
      </c>
      <c r="O465" s="9" t="str">
        <f>IFERROR(__xludf.DUMMYFUNCTION("""COMPUTED_VALUE"""),"Carton")</f>
        <v>Carton</v>
      </c>
      <c r="P465" s="9">
        <f>IFERROR(__xludf.DUMMYFUNCTION("""COMPUTED_VALUE"""),110.0)</f>
        <v>110</v>
      </c>
      <c r="Q465" s="9" t="str">
        <f>IFERROR(__xludf.DUMMYFUNCTION("""COMPUTED_VALUE"""),"Q1'23")</f>
        <v>Q1'23</v>
      </c>
      <c r="R465" s="9">
        <f>IFERROR(__xludf.DUMMYFUNCTION("""COMPUTED_VALUE"""),2.4974007472415947)</f>
        <v>2.497400747</v>
      </c>
    </row>
    <row r="466" ht="14.25" customHeight="1">
      <c r="A466" s="3" t="s">
        <v>24</v>
      </c>
      <c r="B466" s="6" t="s">
        <v>38</v>
      </c>
      <c r="C466" s="3" t="s">
        <v>39</v>
      </c>
      <c r="D466" s="3" t="s">
        <v>13</v>
      </c>
      <c r="E466" s="3" t="s">
        <v>14</v>
      </c>
      <c r="F466" s="3">
        <v>110.0</v>
      </c>
      <c r="G466" s="4" t="s">
        <v>20</v>
      </c>
      <c r="H466" s="3">
        <v>1.7211894236876486</v>
      </c>
      <c r="K466" s="9" t="str">
        <f>IFERROR(__xludf.DUMMYFUNCTION("""COMPUTED_VALUE"""),"TT Off Central")</f>
        <v>TT Off Central</v>
      </c>
      <c r="L466" s="9" t="str">
        <f>IFERROR(__xludf.DUMMYFUNCTION("""COMPUTED_VALUE"""),"Joyi")</f>
        <v>Joyi</v>
      </c>
      <c r="M466" s="9" t="str">
        <f>IFERROR(__xludf.DUMMYFUNCTION("""COMPUTED_VALUE"""),"Smartmilk")</f>
        <v>Smartmilk</v>
      </c>
      <c r="N466" s="9" t="str">
        <f>IFERROR(__xludf.DUMMYFUNCTION("""COMPUTED_VALUE"""),"Sweetened")</f>
        <v>Sweetened</v>
      </c>
      <c r="O466" s="9" t="str">
        <f>IFERROR(__xludf.DUMMYFUNCTION("""COMPUTED_VALUE"""),"Carton")</f>
        <v>Carton</v>
      </c>
      <c r="P466" s="9">
        <f>IFERROR(__xludf.DUMMYFUNCTION("""COMPUTED_VALUE"""),110.0)</f>
        <v>110</v>
      </c>
      <c r="Q466" s="9" t="str">
        <f>IFERROR(__xludf.DUMMYFUNCTION("""COMPUTED_VALUE"""),"Q2'23")</f>
        <v>Q2'23</v>
      </c>
      <c r="R466" s="9">
        <f>IFERROR(__xludf.DUMMYFUNCTION("""COMPUTED_VALUE"""),2.706692846569949)</f>
        <v>2.706692847</v>
      </c>
    </row>
    <row r="467" ht="14.25" customHeight="1">
      <c r="A467" s="3" t="s">
        <v>24</v>
      </c>
      <c r="B467" s="6" t="s">
        <v>38</v>
      </c>
      <c r="C467" s="3" t="s">
        <v>39</v>
      </c>
      <c r="D467" s="3" t="s">
        <v>13</v>
      </c>
      <c r="E467" s="3" t="s">
        <v>14</v>
      </c>
      <c r="F467" s="3">
        <v>110.0</v>
      </c>
      <c r="G467" s="4" t="s">
        <v>21</v>
      </c>
      <c r="H467" s="3">
        <v>1.6498070318054423</v>
      </c>
      <c r="K467" s="9" t="str">
        <f>IFERROR(__xludf.DUMMYFUNCTION("""COMPUTED_VALUE"""),"TT Off Central")</f>
        <v>TT Off Central</v>
      </c>
      <c r="L467" s="9" t="str">
        <f>IFERROR(__xludf.DUMMYFUNCTION("""COMPUTED_VALUE"""),"Joyi")</f>
        <v>Joyi</v>
      </c>
      <c r="M467" s="9" t="str">
        <f>IFERROR(__xludf.DUMMYFUNCTION("""COMPUTED_VALUE"""),"Smartmilk")</f>
        <v>Smartmilk</v>
      </c>
      <c r="N467" s="9" t="str">
        <f>IFERROR(__xludf.DUMMYFUNCTION("""COMPUTED_VALUE"""),"Sweetened")</f>
        <v>Sweetened</v>
      </c>
      <c r="O467" s="9" t="str">
        <f>IFERROR(__xludf.DUMMYFUNCTION("""COMPUTED_VALUE"""),"Carton")</f>
        <v>Carton</v>
      </c>
      <c r="P467" s="9">
        <f>IFERROR(__xludf.DUMMYFUNCTION("""COMPUTED_VALUE"""),110.0)</f>
        <v>110</v>
      </c>
      <c r="Q467" s="9" t="str">
        <f>IFERROR(__xludf.DUMMYFUNCTION("""COMPUTED_VALUE"""),"Q3'23")</f>
        <v>Q3'23</v>
      </c>
      <c r="R467" s="9">
        <f>IFERROR(__xludf.DUMMYFUNCTION("""COMPUTED_VALUE"""),3.0417653764643324)</f>
        <v>3.041765376</v>
      </c>
    </row>
    <row r="468" ht="14.25" customHeight="1">
      <c r="A468" s="3" t="s">
        <v>24</v>
      </c>
      <c r="B468" s="6" t="s">
        <v>38</v>
      </c>
      <c r="C468" s="3" t="s">
        <v>39</v>
      </c>
      <c r="D468" s="3" t="s">
        <v>13</v>
      </c>
      <c r="E468" s="3" t="s">
        <v>14</v>
      </c>
      <c r="F468" s="3">
        <v>110.0</v>
      </c>
      <c r="G468" s="4" t="s">
        <v>22</v>
      </c>
      <c r="H468" s="3">
        <v>1.852500655306908</v>
      </c>
      <c r="K468" s="9" t="str">
        <f>IFERROR(__xludf.DUMMYFUNCTION("""COMPUTED_VALUE"""),"TT Off Central")</f>
        <v>TT Off Central</v>
      </c>
      <c r="L468" s="9" t="str">
        <f>IFERROR(__xludf.DUMMYFUNCTION("""COMPUTED_VALUE"""),"Joyi")</f>
        <v>Joyi</v>
      </c>
      <c r="M468" s="9" t="str">
        <f>IFERROR(__xludf.DUMMYFUNCTION("""COMPUTED_VALUE"""),"Smartmilk")</f>
        <v>Smartmilk</v>
      </c>
      <c r="N468" s="9" t="str">
        <f>IFERROR(__xludf.DUMMYFUNCTION("""COMPUTED_VALUE"""),"Sweetened")</f>
        <v>Sweetened</v>
      </c>
      <c r="O468" s="9" t="str">
        <f>IFERROR(__xludf.DUMMYFUNCTION("""COMPUTED_VALUE"""),"Carton")</f>
        <v>Carton</v>
      </c>
      <c r="P468" s="9">
        <f>IFERROR(__xludf.DUMMYFUNCTION("""COMPUTED_VALUE"""),110.0)</f>
        <v>110</v>
      </c>
      <c r="Q468" s="9" t="str">
        <f>IFERROR(__xludf.DUMMYFUNCTION("""COMPUTED_VALUE"""),"Q4'23")</f>
        <v>Q4'23</v>
      </c>
      <c r="R468" s="9">
        <f>IFERROR(__xludf.DUMMYFUNCTION("""COMPUTED_VALUE"""),3.4523825288705052)</f>
        <v>3.452382529</v>
      </c>
    </row>
    <row r="469" ht="14.25" customHeight="1">
      <c r="A469" s="3" t="s">
        <v>24</v>
      </c>
      <c r="B469" s="6" t="s">
        <v>38</v>
      </c>
      <c r="C469" s="3" t="s">
        <v>39</v>
      </c>
      <c r="D469" s="3" t="s">
        <v>13</v>
      </c>
      <c r="E469" s="3" t="s">
        <v>14</v>
      </c>
      <c r="F469" s="3">
        <v>170.0</v>
      </c>
      <c r="G469" s="4" t="s">
        <v>15</v>
      </c>
      <c r="H469" s="3">
        <v>4.785583892393026</v>
      </c>
      <c r="K469" s="9" t="str">
        <f>IFERROR(__xludf.DUMMYFUNCTION("""COMPUTED_VALUE"""),"TT Off Central")</f>
        <v>TT Off Central</v>
      </c>
      <c r="L469" s="9" t="str">
        <f>IFERROR(__xludf.DUMMYFUNCTION("""COMPUTED_VALUE"""),"Joyi")</f>
        <v>Joyi</v>
      </c>
      <c r="M469" s="9" t="str">
        <f>IFERROR(__xludf.DUMMYFUNCTION("""COMPUTED_VALUE"""),"Smartmilk")</f>
        <v>Smartmilk</v>
      </c>
      <c r="N469" s="9" t="str">
        <f>IFERROR(__xludf.DUMMYFUNCTION("""COMPUTED_VALUE"""),"Sweetened")</f>
        <v>Sweetened</v>
      </c>
      <c r="O469" s="9" t="str">
        <f>IFERROR(__xludf.DUMMYFUNCTION("""COMPUTED_VALUE"""),"Carton")</f>
        <v>Carton</v>
      </c>
      <c r="P469" s="9">
        <f>IFERROR(__xludf.DUMMYFUNCTION("""COMPUTED_VALUE"""),170.0)</f>
        <v>170</v>
      </c>
      <c r="Q469" s="9" t="str">
        <f>IFERROR(__xludf.DUMMYFUNCTION("""COMPUTED_VALUE"""),"Q1'22")</f>
        <v>Q1'22</v>
      </c>
      <c r="R469" s="9">
        <f>IFERROR(__xludf.DUMMYFUNCTION("""COMPUTED_VALUE"""),5.680756243956527)</f>
        <v>5.680756244</v>
      </c>
    </row>
    <row r="470" ht="14.25" customHeight="1">
      <c r="A470" s="3" t="s">
        <v>24</v>
      </c>
      <c r="B470" s="6" t="s">
        <v>38</v>
      </c>
      <c r="C470" s="3" t="s">
        <v>39</v>
      </c>
      <c r="D470" s="3" t="s">
        <v>13</v>
      </c>
      <c r="E470" s="3" t="s">
        <v>14</v>
      </c>
      <c r="F470" s="3">
        <v>170.0</v>
      </c>
      <c r="G470" s="4" t="s">
        <v>16</v>
      </c>
      <c r="H470" s="3">
        <v>4.0864935945769005</v>
      </c>
      <c r="K470" s="9" t="str">
        <f>IFERROR(__xludf.DUMMYFUNCTION("""COMPUTED_VALUE"""),"TT Off Central")</f>
        <v>TT Off Central</v>
      </c>
      <c r="L470" s="9" t="str">
        <f>IFERROR(__xludf.DUMMYFUNCTION("""COMPUTED_VALUE"""),"Joyi")</f>
        <v>Joyi</v>
      </c>
      <c r="M470" s="9" t="str">
        <f>IFERROR(__xludf.DUMMYFUNCTION("""COMPUTED_VALUE"""),"Smartmilk")</f>
        <v>Smartmilk</v>
      </c>
      <c r="N470" s="9" t="str">
        <f>IFERROR(__xludf.DUMMYFUNCTION("""COMPUTED_VALUE"""),"Sweetened")</f>
        <v>Sweetened</v>
      </c>
      <c r="O470" s="9" t="str">
        <f>IFERROR(__xludf.DUMMYFUNCTION("""COMPUTED_VALUE"""),"Carton")</f>
        <v>Carton</v>
      </c>
      <c r="P470" s="9">
        <f>IFERROR(__xludf.DUMMYFUNCTION("""COMPUTED_VALUE"""),170.0)</f>
        <v>170</v>
      </c>
      <c r="Q470" s="9" t="str">
        <f>IFERROR(__xludf.DUMMYFUNCTION("""COMPUTED_VALUE"""),"Q2'22")</f>
        <v>Q2'22</v>
      </c>
      <c r="R470" s="9">
        <f>IFERROR(__xludf.DUMMYFUNCTION("""COMPUTED_VALUE"""),5.640305325000883)</f>
        <v>5.640305325</v>
      </c>
    </row>
    <row r="471" ht="14.25" customHeight="1">
      <c r="A471" s="3" t="s">
        <v>24</v>
      </c>
      <c r="B471" s="6" t="s">
        <v>38</v>
      </c>
      <c r="C471" s="3" t="s">
        <v>39</v>
      </c>
      <c r="D471" s="3" t="s">
        <v>13</v>
      </c>
      <c r="E471" s="3" t="s">
        <v>14</v>
      </c>
      <c r="F471" s="3">
        <v>170.0</v>
      </c>
      <c r="G471" s="4" t="s">
        <v>17</v>
      </c>
      <c r="H471" s="3">
        <v>4.392661537226959</v>
      </c>
      <c r="K471" s="9" t="str">
        <f>IFERROR(__xludf.DUMMYFUNCTION("""COMPUTED_VALUE"""),"TT Off Central")</f>
        <v>TT Off Central</v>
      </c>
      <c r="L471" s="9" t="str">
        <f>IFERROR(__xludf.DUMMYFUNCTION("""COMPUTED_VALUE"""),"Joyi")</f>
        <v>Joyi</v>
      </c>
      <c r="M471" s="9" t="str">
        <f>IFERROR(__xludf.DUMMYFUNCTION("""COMPUTED_VALUE"""),"Smartmilk")</f>
        <v>Smartmilk</v>
      </c>
      <c r="N471" s="9" t="str">
        <f>IFERROR(__xludf.DUMMYFUNCTION("""COMPUTED_VALUE"""),"Sweetened")</f>
        <v>Sweetened</v>
      </c>
      <c r="O471" s="9" t="str">
        <f>IFERROR(__xludf.DUMMYFUNCTION("""COMPUTED_VALUE"""),"Carton")</f>
        <v>Carton</v>
      </c>
      <c r="P471" s="9">
        <f>IFERROR(__xludf.DUMMYFUNCTION("""COMPUTED_VALUE"""),170.0)</f>
        <v>170</v>
      </c>
      <c r="Q471" s="9" t="str">
        <f>IFERROR(__xludf.DUMMYFUNCTION("""COMPUTED_VALUE"""),"Q3'22")</f>
        <v>Q3'22</v>
      </c>
      <c r="R471" s="9">
        <f>IFERROR(__xludf.DUMMYFUNCTION("""COMPUTED_VALUE"""),6.124109073086357)</f>
        <v>6.124109073</v>
      </c>
    </row>
    <row r="472" ht="14.25" customHeight="1">
      <c r="A472" s="3" t="s">
        <v>24</v>
      </c>
      <c r="B472" s="6" t="s">
        <v>38</v>
      </c>
      <c r="C472" s="3" t="s">
        <v>39</v>
      </c>
      <c r="D472" s="3" t="s">
        <v>13</v>
      </c>
      <c r="E472" s="3" t="s">
        <v>14</v>
      </c>
      <c r="F472" s="3">
        <v>170.0</v>
      </c>
      <c r="G472" s="4" t="s">
        <v>18</v>
      </c>
      <c r="H472" s="3">
        <v>4.520532096779559</v>
      </c>
      <c r="K472" s="9" t="str">
        <f>IFERROR(__xludf.DUMMYFUNCTION("""COMPUTED_VALUE"""),"TT Off Central")</f>
        <v>TT Off Central</v>
      </c>
      <c r="L472" s="9" t="str">
        <f>IFERROR(__xludf.DUMMYFUNCTION("""COMPUTED_VALUE"""),"Joyi")</f>
        <v>Joyi</v>
      </c>
      <c r="M472" s="9" t="str">
        <f>IFERROR(__xludf.DUMMYFUNCTION("""COMPUTED_VALUE"""),"Smartmilk")</f>
        <v>Smartmilk</v>
      </c>
      <c r="N472" s="9" t="str">
        <f>IFERROR(__xludf.DUMMYFUNCTION("""COMPUTED_VALUE"""),"Sweetened")</f>
        <v>Sweetened</v>
      </c>
      <c r="O472" s="9" t="str">
        <f>IFERROR(__xludf.DUMMYFUNCTION("""COMPUTED_VALUE"""),"Carton")</f>
        <v>Carton</v>
      </c>
      <c r="P472" s="9">
        <f>IFERROR(__xludf.DUMMYFUNCTION("""COMPUTED_VALUE"""),170.0)</f>
        <v>170</v>
      </c>
      <c r="Q472" s="9" t="str">
        <f>IFERROR(__xludf.DUMMYFUNCTION("""COMPUTED_VALUE"""),"Q4'22")</f>
        <v>Q4'22</v>
      </c>
      <c r="R472" s="9">
        <f>IFERROR(__xludf.DUMMYFUNCTION("""COMPUTED_VALUE"""),5.102348070759817)</f>
        <v>5.102348071</v>
      </c>
    </row>
    <row r="473" ht="14.25" customHeight="1">
      <c r="A473" s="3" t="s">
        <v>24</v>
      </c>
      <c r="B473" s="6" t="s">
        <v>38</v>
      </c>
      <c r="C473" s="3" t="s">
        <v>39</v>
      </c>
      <c r="D473" s="3" t="s">
        <v>13</v>
      </c>
      <c r="E473" s="3" t="s">
        <v>14</v>
      </c>
      <c r="F473" s="3">
        <v>170.0</v>
      </c>
      <c r="G473" s="4" t="s">
        <v>19</v>
      </c>
      <c r="H473" s="3">
        <v>4.705426726834077</v>
      </c>
      <c r="K473" s="9" t="str">
        <f>IFERROR(__xludf.DUMMYFUNCTION("""COMPUTED_VALUE"""),"TT Off Central")</f>
        <v>TT Off Central</v>
      </c>
      <c r="L473" s="9" t="str">
        <f>IFERROR(__xludf.DUMMYFUNCTION("""COMPUTED_VALUE"""),"Joyi")</f>
        <v>Joyi</v>
      </c>
      <c r="M473" s="9" t="str">
        <f>IFERROR(__xludf.DUMMYFUNCTION("""COMPUTED_VALUE"""),"Smartmilk")</f>
        <v>Smartmilk</v>
      </c>
      <c r="N473" s="9" t="str">
        <f>IFERROR(__xludf.DUMMYFUNCTION("""COMPUTED_VALUE"""),"Sweetened")</f>
        <v>Sweetened</v>
      </c>
      <c r="O473" s="9" t="str">
        <f>IFERROR(__xludf.DUMMYFUNCTION("""COMPUTED_VALUE"""),"Carton")</f>
        <v>Carton</v>
      </c>
      <c r="P473" s="9">
        <f>IFERROR(__xludf.DUMMYFUNCTION("""COMPUTED_VALUE"""),170.0)</f>
        <v>170</v>
      </c>
      <c r="Q473" s="9" t="str">
        <f>IFERROR(__xludf.DUMMYFUNCTION("""COMPUTED_VALUE"""),"Q1'23")</f>
        <v>Q1'23</v>
      </c>
      <c r="R473" s="9">
        <f>IFERROR(__xludf.DUMMYFUNCTION("""COMPUTED_VALUE"""),4.577224349805996)</f>
        <v>4.57722435</v>
      </c>
    </row>
    <row r="474" ht="14.25" customHeight="1">
      <c r="A474" s="3" t="s">
        <v>24</v>
      </c>
      <c r="B474" s="6" t="s">
        <v>38</v>
      </c>
      <c r="C474" s="3" t="s">
        <v>39</v>
      </c>
      <c r="D474" s="3" t="s">
        <v>13</v>
      </c>
      <c r="E474" s="3" t="s">
        <v>14</v>
      </c>
      <c r="F474" s="3">
        <v>170.0</v>
      </c>
      <c r="G474" s="4" t="s">
        <v>20</v>
      </c>
      <c r="H474" s="3">
        <v>4.33264289991238</v>
      </c>
      <c r="K474" s="9" t="str">
        <f>IFERROR(__xludf.DUMMYFUNCTION("""COMPUTED_VALUE"""),"TT Off Central")</f>
        <v>TT Off Central</v>
      </c>
      <c r="L474" s="9" t="str">
        <f>IFERROR(__xludf.DUMMYFUNCTION("""COMPUTED_VALUE"""),"Joyi")</f>
        <v>Joyi</v>
      </c>
      <c r="M474" s="9" t="str">
        <f>IFERROR(__xludf.DUMMYFUNCTION("""COMPUTED_VALUE"""),"Smartmilk")</f>
        <v>Smartmilk</v>
      </c>
      <c r="N474" s="9" t="str">
        <f>IFERROR(__xludf.DUMMYFUNCTION("""COMPUTED_VALUE"""),"Sweetened")</f>
        <v>Sweetened</v>
      </c>
      <c r="O474" s="9" t="str">
        <f>IFERROR(__xludf.DUMMYFUNCTION("""COMPUTED_VALUE"""),"Carton")</f>
        <v>Carton</v>
      </c>
      <c r="P474" s="9">
        <f>IFERROR(__xludf.DUMMYFUNCTION("""COMPUTED_VALUE"""),170.0)</f>
        <v>170</v>
      </c>
      <c r="Q474" s="9" t="str">
        <f>IFERROR(__xludf.DUMMYFUNCTION("""COMPUTED_VALUE"""),"Q2'23")</f>
        <v>Q2'23</v>
      </c>
      <c r="R474" s="9">
        <f>IFERROR(__xludf.DUMMYFUNCTION("""COMPUTED_VALUE"""),4.3927807871946385)</f>
        <v>4.392780787</v>
      </c>
    </row>
    <row r="475" ht="14.25" customHeight="1">
      <c r="A475" s="3" t="s">
        <v>24</v>
      </c>
      <c r="B475" s="6" t="s">
        <v>38</v>
      </c>
      <c r="C475" s="3" t="s">
        <v>39</v>
      </c>
      <c r="D475" s="3" t="s">
        <v>13</v>
      </c>
      <c r="E475" s="3" t="s">
        <v>14</v>
      </c>
      <c r="F475" s="3">
        <v>170.0</v>
      </c>
      <c r="G475" s="4" t="s">
        <v>21</v>
      </c>
      <c r="H475" s="3">
        <v>4.343494758882125</v>
      </c>
      <c r="K475" s="9" t="str">
        <f>IFERROR(__xludf.DUMMYFUNCTION("""COMPUTED_VALUE"""),"TT Off Central")</f>
        <v>TT Off Central</v>
      </c>
      <c r="L475" s="9" t="str">
        <f>IFERROR(__xludf.DUMMYFUNCTION("""COMPUTED_VALUE"""),"Joyi")</f>
        <v>Joyi</v>
      </c>
      <c r="M475" s="9" t="str">
        <f>IFERROR(__xludf.DUMMYFUNCTION("""COMPUTED_VALUE"""),"Smartmilk")</f>
        <v>Smartmilk</v>
      </c>
      <c r="N475" s="9" t="str">
        <f>IFERROR(__xludf.DUMMYFUNCTION("""COMPUTED_VALUE"""),"Sweetened")</f>
        <v>Sweetened</v>
      </c>
      <c r="O475" s="9" t="str">
        <f>IFERROR(__xludf.DUMMYFUNCTION("""COMPUTED_VALUE"""),"Carton")</f>
        <v>Carton</v>
      </c>
      <c r="P475" s="9">
        <f>IFERROR(__xludf.DUMMYFUNCTION("""COMPUTED_VALUE"""),170.0)</f>
        <v>170</v>
      </c>
      <c r="Q475" s="9" t="str">
        <f>IFERROR(__xludf.DUMMYFUNCTION("""COMPUTED_VALUE"""),"Q3'23")</f>
        <v>Q3'23</v>
      </c>
      <c r="R475" s="9">
        <f>IFERROR(__xludf.DUMMYFUNCTION("""COMPUTED_VALUE"""),4.5888949356757625)</f>
        <v>4.588894936</v>
      </c>
    </row>
    <row r="476" ht="14.25" customHeight="1">
      <c r="A476" s="3" t="s">
        <v>24</v>
      </c>
      <c r="B476" s="6" t="s">
        <v>38</v>
      </c>
      <c r="C476" s="3" t="s">
        <v>39</v>
      </c>
      <c r="D476" s="3" t="s">
        <v>13</v>
      </c>
      <c r="E476" s="3" t="s">
        <v>14</v>
      </c>
      <c r="F476" s="3">
        <v>170.0</v>
      </c>
      <c r="G476" s="4" t="s">
        <v>22</v>
      </c>
      <c r="H476" s="3">
        <v>4.5275495496066895</v>
      </c>
      <c r="K476" s="9" t="str">
        <f>IFERROR(__xludf.DUMMYFUNCTION("""COMPUTED_VALUE"""),"TT Off Central")</f>
        <v>TT Off Central</v>
      </c>
      <c r="L476" s="9" t="str">
        <f>IFERROR(__xludf.DUMMYFUNCTION("""COMPUTED_VALUE"""),"Joyi")</f>
        <v>Joyi</v>
      </c>
      <c r="M476" s="9" t="str">
        <f>IFERROR(__xludf.DUMMYFUNCTION("""COMPUTED_VALUE"""),"Smartmilk")</f>
        <v>Smartmilk</v>
      </c>
      <c r="N476" s="9" t="str">
        <f>IFERROR(__xludf.DUMMYFUNCTION("""COMPUTED_VALUE"""),"Sweetened")</f>
        <v>Sweetened</v>
      </c>
      <c r="O476" s="9" t="str">
        <f>IFERROR(__xludf.DUMMYFUNCTION("""COMPUTED_VALUE"""),"Carton")</f>
        <v>Carton</v>
      </c>
      <c r="P476" s="9">
        <f>IFERROR(__xludf.DUMMYFUNCTION("""COMPUTED_VALUE"""),170.0)</f>
        <v>170</v>
      </c>
      <c r="Q476" s="9" t="str">
        <f>IFERROR(__xludf.DUMMYFUNCTION("""COMPUTED_VALUE"""),"Q4'23")</f>
        <v>Q4'23</v>
      </c>
      <c r="R476" s="9">
        <f>IFERROR(__xludf.DUMMYFUNCTION("""COMPUTED_VALUE"""),4.963709803009067)</f>
        <v>4.963709803</v>
      </c>
    </row>
    <row r="477" ht="14.25" customHeight="1">
      <c r="A477" s="3" t="s">
        <v>24</v>
      </c>
      <c r="B477" s="6" t="s">
        <v>38</v>
      </c>
      <c r="C477" s="3" t="s">
        <v>40</v>
      </c>
      <c r="D477" s="3" t="s">
        <v>31</v>
      </c>
      <c r="E477" s="3" t="s">
        <v>14</v>
      </c>
      <c r="F477" s="3">
        <v>180.0</v>
      </c>
      <c r="G477" s="4" t="s">
        <v>15</v>
      </c>
      <c r="H477" s="3">
        <v>3.2513449055442836</v>
      </c>
      <c r="K477" s="9" t="str">
        <f>IFERROR(__xludf.DUMMYFUNCTION("""COMPUTED_VALUE"""),"TT Off Central")</f>
        <v>TT Off Central</v>
      </c>
      <c r="L477" s="9" t="str">
        <f>IFERROR(__xludf.DUMMYFUNCTION("""COMPUTED_VALUE"""),"Joyi")</f>
        <v>Joyi</v>
      </c>
      <c r="M477" s="9" t="str">
        <f>IFERROR(__xludf.DUMMYFUNCTION("""COMPUTED_VALUE"""),"Star")</f>
        <v>Star</v>
      </c>
      <c r="N477" s="9" t="str">
        <f>IFERROR(__xludf.DUMMYFUNCTION("""COMPUTED_VALUE"""),"Strawberry")</f>
        <v>Strawberry</v>
      </c>
      <c r="O477" s="9" t="str">
        <f>IFERROR(__xludf.DUMMYFUNCTION("""COMPUTED_VALUE"""),"Carton")</f>
        <v>Carton</v>
      </c>
      <c r="P477" s="9">
        <f>IFERROR(__xludf.DUMMYFUNCTION("""COMPUTED_VALUE"""),180.0)</f>
        <v>180</v>
      </c>
      <c r="Q477" s="9" t="str">
        <f>IFERROR(__xludf.DUMMYFUNCTION("""COMPUTED_VALUE"""),"Q1'22")</f>
        <v>Q1'22</v>
      </c>
      <c r="R477" s="9">
        <f>IFERROR(__xludf.DUMMYFUNCTION("""COMPUTED_VALUE"""),0.6928208092369158)</f>
        <v>0.6928208092</v>
      </c>
    </row>
    <row r="478" ht="14.25" customHeight="1">
      <c r="A478" s="3" t="s">
        <v>24</v>
      </c>
      <c r="B478" s="6" t="s">
        <v>38</v>
      </c>
      <c r="C478" s="3" t="s">
        <v>40</v>
      </c>
      <c r="D478" s="3" t="s">
        <v>31</v>
      </c>
      <c r="E478" s="3" t="s">
        <v>14</v>
      </c>
      <c r="F478" s="3">
        <v>180.0</v>
      </c>
      <c r="G478" s="4" t="s">
        <v>16</v>
      </c>
      <c r="H478" s="3">
        <v>3.7147590884242314</v>
      </c>
      <c r="K478" s="9" t="str">
        <f>IFERROR(__xludf.DUMMYFUNCTION("""COMPUTED_VALUE"""),"TT Off Central")</f>
        <v>TT Off Central</v>
      </c>
      <c r="L478" s="9" t="str">
        <f>IFERROR(__xludf.DUMMYFUNCTION("""COMPUTED_VALUE"""),"Joyi")</f>
        <v>Joyi</v>
      </c>
      <c r="M478" s="9" t="str">
        <f>IFERROR(__xludf.DUMMYFUNCTION("""COMPUTED_VALUE"""),"Star")</f>
        <v>Star</v>
      </c>
      <c r="N478" s="9" t="str">
        <f>IFERROR(__xludf.DUMMYFUNCTION("""COMPUTED_VALUE"""),"Strawberry")</f>
        <v>Strawberry</v>
      </c>
      <c r="O478" s="9" t="str">
        <f>IFERROR(__xludf.DUMMYFUNCTION("""COMPUTED_VALUE"""),"Carton")</f>
        <v>Carton</v>
      </c>
      <c r="P478" s="9">
        <f>IFERROR(__xludf.DUMMYFUNCTION("""COMPUTED_VALUE"""),180.0)</f>
        <v>180</v>
      </c>
      <c r="Q478" s="9" t="str">
        <f>IFERROR(__xludf.DUMMYFUNCTION("""COMPUTED_VALUE"""),"Q2'22")</f>
        <v>Q2'22</v>
      </c>
      <c r="R478" s="9">
        <f>IFERROR(__xludf.DUMMYFUNCTION("""COMPUTED_VALUE"""),0.9701281352008783)</f>
        <v>0.9701281352</v>
      </c>
    </row>
    <row r="479" ht="14.25" customHeight="1">
      <c r="A479" s="3" t="s">
        <v>24</v>
      </c>
      <c r="B479" s="6" t="s">
        <v>38</v>
      </c>
      <c r="C479" s="3" t="s">
        <v>40</v>
      </c>
      <c r="D479" s="3" t="s">
        <v>31</v>
      </c>
      <c r="E479" s="3" t="s">
        <v>14</v>
      </c>
      <c r="F479" s="3">
        <v>180.0</v>
      </c>
      <c r="G479" s="4" t="s">
        <v>17</v>
      </c>
      <c r="H479" s="3">
        <v>3.56427609753718</v>
      </c>
      <c r="K479" s="9" t="str">
        <f>IFERROR(__xludf.DUMMYFUNCTION("""COMPUTED_VALUE"""),"TT Off Central")</f>
        <v>TT Off Central</v>
      </c>
      <c r="L479" s="9" t="str">
        <f>IFERROR(__xludf.DUMMYFUNCTION("""COMPUTED_VALUE"""),"Joyi")</f>
        <v>Joyi</v>
      </c>
      <c r="M479" s="9" t="str">
        <f>IFERROR(__xludf.DUMMYFUNCTION("""COMPUTED_VALUE"""),"Star")</f>
        <v>Star</v>
      </c>
      <c r="N479" s="9" t="str">
        <f>IFERROR(__xludf.DUMMYFUNCTION("""COMPUTED_VALUE"""),"Strawberry")</f>
        <v>Strawberry</v>
      </c>
      <c r="O479" s="9" t="str">
        <f>IFERROR(__xludf.DUMMYFUNCTION("""COMPUTED_VALUE"""),"Carton")</f>
        <v>Carton</v>
      </c>
      <c r="P479" s="9">
        <f>IFERROR(__xludf.DUMMYFUNCTION("""COMPUTED_VALUE"""),180.0)</f>
        <v>180</v>
      </c>
      <c r="Q479" s="9" t="str">
        <f>IFERROR(__xludf.DUMMYFUNCTION("""COMPUTED_VALUE"""),"Q3'22")</f>
        <v>Q3'22</v>
      </c>
      <c r="R479" s="9">
        <f>IFERROR(__xludf.DUMMYFUNCTION("""COMPUTED_VALUE"""),0.793184675246602)</f>
        <v>0.7931846752</v>
      </c>
    </row>
    <row r="480" ht="14.25" customHeight="1">
      <c r="A480" s="3" t="s">
        <v>24</v>
      </c>
      <c r="B480" s="6" t="s">
        <v>38</v>
      </c>
      <c r="C480" s="3" t="s">
        <v>40</v>
      </c>
      <c r="D480" s="3" t="s">
        <v>31</v>
      </c>
      <c r="E480" s="3" t="s">
        <v>14</v>
      </c>
      <c r="F480" s="3">
        <v>180.0</v>
      </c>
      <c r="G480" s="4" t="s">
        <v>18</v>
      </c>
      <c r="H480" s="3">
        <v>3.546096087914447</v>
      </c>
      <c r="K480" s="9" t="str">
        <f>IFERROR(__xludf.DUMMYFUNCTION("""COMPUTED_VALUE"""),"TT Off Central")</f>
        <v>TT Off Central</v>
      </c>
      <c r="L480" s="9" t="str">
        <f>IFERROR(__xludf.DUMMYFUNCTION("""COMPUTED_VALUE"""),"Joyi")</f>
        <v>Joyi</v>
      </c>
      <c r="M480" s="9" t="str">
        <f>IFERROR(__xludf.DUMMYFUNCTION("""COMPUTED_VALUE"""),"Star")</f>
        <v>Star</v>
      </c>
      <c r="N480" s="9" t="str">
        <f>IFERROR(__xludf.DUMMYFUNCTION("""COMPUTED_VALUE"""),"Strawberry")</f>
        <v>Strawberry</v>
      </c>
      <c r="O480" s="9" t="str">
        <f>IFERROR(__xludf.DUMMYFUNCTION("""COMPUTED_VALUE"""),"Carton")</f>
        <v>Carton</v>
      </c>
      <c r="P480" s="9">
        <f>IFERROR(__xludf.DUMMYFUNCTION("""COMPUTED_VALUE"""),180.0)</f>
        <v>180</v>
      </c>
      <c r="Q480" s="9" t="str">
        <f>IFERROR(__xludf.DUMMYFUNCTION("""COMPUTED_VALUE"""),"Q4'22")</f>
        <v>Q4'22</v>
      </c>
      <c r="R480" s="9">
        <f>IFERROR(__xludf.DUMMYFUNCTION("""COMPUTED_VALUE"""),0.7013190232624087)</f>
        <v>0.7013190233</v>
      </c>
    </row>
    <row r="481" ht="14.25" customHeight="1">
      <c r="A481" s="3" t="s">
        <v>24</v>
      </c>
      <c r="B481" s="6" t="s">
        <v>38</v>
      </c>
      <c r="C481" s="3" t="s">
        <v>40</v>
      </c>
      <c r="D481" s="3" t="s">
        <v>31</v>
      </c>
      <c r="E481" s="3" t="s">
        <v>14</v>
      </c>
      <c r="F481" s="3">
        <v>180.0</v>
      </c>
      <c r="G481" s="4" t="s">
        <v>19</v>
      </c>
      <c r="H481" s="3">
        <v>2.9079344030062937</v>
      </c>
      <c r="K481" s="9" t="str">
        <f>IFERROR(__xludf.DUMMYFUNCTION("""COMPUTED_VALUE"""),"TT Off Central")</f>
        <v>TT Off Central</v>
      </c>
      <c r="L481" s="9" t="str">
        <f>IFERROR(__xludf.DUMMYFUNCTION("""COMPUTED_VALUE"""),"Joyi")</f>
        <v>Joyi</v>
      </c>
      <c r="M481" s="9" t="str">
        <f>IFERROR(__xludf.DUMMYFUNCTION("""COMPUTED_VALUE"""),"Star")</f>
        <v>Star</v>
      </c>
      <c r="N481" s="9" t="str">
        <f>IFERROR(__xludf.DUMMYFUNCTION("""COMPUTED_VALUE"""),"Strawberry")</f>
        <v>Strawberry</v>
      </c>
      <c r="O481" s="9" t="str">
        <f>IFERROR(__xludf.DUMMYFUNCTION("""COMPUTED_VALUE"""),"Carton")</f>
        <v>Carton</v>
      </c>
      <c r="P481" s="9">
        <f>IFERROR(__xludf.DUMMYFUNCTION("""COMPUTED_VALUE"""),180.0)</f>
        <v>180</v>
      </c>
      <c r="Q481" s="9" t="str">
        <f>IFERROR(__xludf.DUMMYFUNCTION("""COMPUTED_VALUE"""),"Q1'23")</f>
        <v>Q1'23</v>
      </c>
      <c r="R481" s="9">
        <f>IFERROR(__xludf.DUMMYFUNCTION("""COMPUTED_VALUE"""),0.5521444778663134)</f>
        <v>0.5521444779</v>
      </c>
    </row>
    <row r="482" ht="14.25" customHeight="1">
      <c r="A482" s="3" t="s">
        <v>24</v>
      </c>
      <c r="B482" s="6" t="s">
        <v>38</v>
      </c>
      <c r="C482" s="3" t="s">
        <v>40</v>
      </c>
      <c r="D482" s="3" t="s">
        <v>31</v>
      </c>
      <c r="E482" s="3" t="s">
        <v>14</v>
      </c>
      <c r="F482" s="3">
        <v>180.0</v>
      </c>
      <c r="G482" s="4" t="s">
        <v>20</v>
      </c>
      <c r="H482" s="3">
        <v>2.4386950836955026</v>
      </c>
      <c r="K482" s="9" t="str">
        <f>IFERROR(__xludf.DUMMYFUNCTION("""COMPUTED_VALUE"""),"TT Off Central")</f>
        <v>TT Off Central</v>
      </c>
      <c r="L482" s="9" t="str">
        <f>IFERROR(__xludf.DUMMYFUNCTION("""COMPUTED_VALUE"""),"Joyi")</f>
        <v>Joyi</v>
      </c>
      <c r="M482" s="9" t="str">
        <f>IFERROR(__xludf.DUMMYFUNCTION("""COMPUTED_VALUE"""),"Star")</f>
        <v>Star</v>
      </c>
      <c r="N482" s="9" t="str">
        <f>IFERROR(__xludf.DUMMYFUNCTION("""COMPUTED_VALUE"""),"Strawberry")</f>
        <v>Strawberry</v>
      </c>
      <c r="O482" s="9" t="str">
        <f>IFERROR(__xludf.DUMMYFUNCTION("""COMPUTED_VALUE"""),"Carton")</f>
        <v>Carton</v>
      </c>
      <c r="P482" s="9">
        <f>IFERROR(__xludf.DUMMYFUNCTION("""COMPUTED_VALUE"""),180.0)</f>
        <v>180</v>
      </c>
      <c r="Q482" s="9" t="str">
        <f>IFERROR(__xludf.DUMMYFUNCTION("""COMPUTED_VALUE"""),"Q2'23")</f>
        <v>Q2'23</v>
      </c>
      <c r="R482" s="9">
        <f>IFERROR(__xludf.DUMMYFUNCTION("""COMPUTED_VALUE"""),0.3432246878731313)</f>
        <v>0.3432246879</v>
      </c>
    </row>
    <row r="483" ht="14.25" customHeight="1">
      <c r="A483" s="3" t="s">
        <v>24</v>
      </c>
      <c r="B483" s="6" t="s">
        <v>38</v>
      </c>
      <c r="C483" s="3" t="s">
        <v>40</v>
      </c>
      <c r="D483" s="3" t="s">
        <v>31</v>
      </c>
      <c r="E483" s="3" t="s">
        <v>14</v>
      </c>
      <c r="F483" s="3">
        <v>180.0</v>
      </c>
      <c r="G483" s="4" t="s">
        <v>21</v>
      </c>
      <c r="H483" s="3">
        <v>3.377412606136333</v>
      </c>
      <c r="K483" s="9" t="str">
        <f>IFERROR(__xludf.DUMMYFUNCTION("""COMPUTED_VALUE"""),"TT Off Central")</f>
        <v>TT Off Central</v>
      </c>
      <c r="L483" s="9" t="str">
        <f>IFERROR(__xludf.DUMMYFUNCTION("""COMPUTED_VALUE"""),"Joyi")</f>
        <v>Joyi</v>
      </c>
      <c r="M483" s="9" t="str">
        <f>IFERROR(__xludf.DUMMYFUNCTION("""COMPUTED_VALUE"""),"Star")</f>
        <v>Star</v>
      </c>
      <c r="N483" s="9" t="str">
        <f>IFERROR(__xludf.DUMMYFUNCTION("""COMPUTED_VALUE"""),"Strawberry")</f>
        <v>Strawberry</v>
      </c>
      <c r="O483" s="9" t="str">
        <f>IFERROR(__xludf.DUMMYFUNCTION("""COMPUTED_VALUE"""),"Carton")</f>
        <v>Carton</v>
      </c>
      <c r="P483" s="9">
        <f>IFERROR(__xludf.DUMMYFUNCTION("""COMPUTED_VALUE"""),180.0)</f>
        <v>180</v>
      </c>
      <c r="Q483" s="9" t="str">
        <f>IFERROR(__xludf.DUMMYFUNCTION("""COMPUTED_VALUE"""),"Q3'23")</f>
        <v>Q3'23</v>
      </c>
      <c r="R483" s="9">
        <f>IFERROR(__xludf.DUMMYFUNCTION("""COMPUTED_VALUE"""),0.30402283537847874)</f>
        <v>0.3040228354</v>
      </c>
    </row>
    <row r="484" ht="14.25" customHeight="1">
      <c r="A484" s="3" t="s">
        <v>24</v>
      </c>
      <c r="B484" s="6" t="s">
        <v>38</v>
      </c>
      <c r="C484" s="3" t="s">
        <v>40</v>
      </c>
      <c r="D484" s="3" t="s">
        <v>31</v>
      </c>
      <c r="E484" s="3" t="s">
        <v>14</v>
      </c>
      <c r="F484" s="3">
        <v>180.0</v>
      </c>
      <c r="G484" s="4" t="s">
        <v>22</v>
      </c>
      <c r="H484" s="3">
        <v>2.5094820950622476</v>
      </c>
      <c r="K484" s="9" t="str">
        <f>IFERROR(__xludf.DUMMYFUNCTION("""COMPUTED_VALUE"""),"TT Off Central")</f>
        <v>TT Off Central</v>
      </c>
      <c r="L484" s="9" t="str">
        <f>IFERROR(__xludf.DUMMYFUNCTION("""COMPUTED_VALUE"""),"Joyi")</f>
        <v>Joyi</v>
      </c>
      <c r="M484" s="9" t="str">
        <f>IFERROR(__xludf.DUMMYFUNCTION("""COMPUTED_VALUE"""),"Star")</f>
        <v>Star</v>
      </c>
      <c r="N484" s="9" t="str">
        <f>IFERROR(__xludf.DUMMYFUNCTION("""COMPUTED_VALUE"""),"Strawberry")</f>
        <v>Strawberry</v>
      </c>
      <c r="O484" s="9" t="str">
        <f>IFERROR(__xludf.DUMMYFUNCTION("""COMPUTED_VALUE"""),"Carton")</f>
        <v>Carton</v>
      </c>
      <c r="P484" s="9">
        <f>IFERROR(__xludf.DUMMYFUNCTION("""COMPUTED_VALUE"""),180.0)</f>
        <v>180</v>
      </c>
      <c r="Q484" s="9" t="str">
        <f>IFERROR(__xludf.DUMMYFUNCTION("""COMPUTED_VALUE"""),"Q4'23")</f>
        <v>Q4'23</v>
      </c>
      <c r="R484" s="9">
        <f>IFERROR(__xludf.DUMMYFUNCTION("""COMPUTED_VALUE"""),0.3221556065193466)</f>
        <v>0.3221556065</v>
      </c>
    </row>
    <row r="485" ht="14.25" customHeight="1">
      <c r="A485" s="3" t="s">
        <v>24</v>
      </c>
      <c r="B485" s="6" t="s">
        <v>38</v>
      </c>
      <c r="C485" s="3" t="s">
        <v>40</v>
      </c>
      <c r="D485" s="3" t="s">
        <v>13</v>
      </c>
      <c r="E485" s="3" t="s">
        <v>14</v>
      </c>
      <c r="F485" s="3">
        <v>110.0</v>
      </c>
      <c r="G485" s="4" t="s">
        <v>15</v>
      </c>
      <c r="H485" s="3">
        <v>1.787049793895417</v>
      </c>
      <c r="K485" s="9" t="str">
        <f>IFERROR(__xludf.DUMMYFUNCTION("""COMPUTED_VALUE"""),"TT Off Central")</f>
        <v>TT Off Central</v>
      </c>
      <c r="L485" s="9" t="str">
        <f>IFERROR(__xludf.DUMMYFUNCTION("""COMPUTED_VALUE"""),"Joyi")</f>
        <v>Joyi</v>
      </c>
      <c r="M485" s="9" t="str">
        <f>IFERROR(__xludf.DUMMYFUNCTION("""COMPUTED_VALUE"""),"Star")</f>
        <v>Star</v>
      </c>
      <c r="N485" s="9" t="str">
        <f>IFERROR(__xludf.DUMMYFUNCTION("""COMPUTED_VALUE"""),"Sweetened")</f>
        <v>Sweetened</v>
      </c>
      <c r="O485" s="9" t="str">
        <f>IFERROR(__xludf.DUMMYFUNCTION("""COMPUTED_VALUE"""),"Carton")</f>
        <v>Carton</v>
      </c>
      <c r="P485" s="9">
        <f>IFERROR(__xludf.DUMMYFUNCTION("""COMPUTED_VALUE"""),110.0)</f>
        <v>110</v>
      </c>
      <c r="Q485" s="9" t="str">
        <f>IFERROR(__xludf.DUMMYFUNCTION("""COMPUTED_VALUE"""),"Q1'22")</f>
        <v>Q1'22</v>
      </c>
      <c r="R485" s="9">
        <f>IFERROR(__xludf.DUMMYFUNCTION("""COMPUTED_VALUE"""),1.332513140618451)</f>
        <v>1.332513141</v>
      </c>
    </row>
    <row r="486" ht="14.25" customHeight="1">
      <c r="A486" s="3" t="s">
        <v>24</v>
      </c>
      <c r="B486" s="6" t="s">
        <v>38</v>
      </c>
      <c r="C486" s="3" t="s">
        <v>40</v>
      </c>
      <c r="D486" s="3" t="s">
        <v>13</v>
      </c>
      <c r="E486" s="3" t="s">
        <v>14</v>
      </c>
      <c r="F486" s="3">
        <v>110.0</v>
      </c>
      <c r="G486" s="4" t="s">
        <v>16</v>
      </c>
      <c r="H486" s="3">
        <v>2.2192640918283173</v>
      </c>
      <c r="K486" s="9" t="str">
        <f>IFERROR(__xludf.DUMMYFUNCTION("""COMPUTED_VALUE"""),"TT Off Central")</f>
        <v>TT Off Central</v>
      </c>
      <c r="L486" s="9" t="str">
        <f>IFERROR(__xludf.DUMMYFUNCTION("""COMPUTED_VALUE"""),"Joyi")</f>
        <v>Joyi</v>
      </c>
      <c r="M486" s="9" t="str">
        <f>IFERROR(__xludf.DUMMYFUNCTION("""COMPUTED_VALUE"""),"Star")</f>
        <v>Star</v>
      </c>
      <c r="N486" s="9" t="str">
        <f>IFERROR(__xludf.DUMMYFUNCTION("""COMPUTED_VALUE"""),"Sweetened")</f>
        <v>Sweetened</v>
      </c>
      <c r="O486" s="9" t="str">
        <f>IFERROR(__xludf.DUMMYFUNCTION("""COMPUTED_VALUE"""),"Carton")</f>
        <v>Carton</v>
      </c>
      <c r="P486" s="9">
        <f>IFERROR(__xludf.DUMMYFUNCTION("""COMPUTED_VALUE"""),110.0)</f>
        <v>110</v>
      </c>
      <c r="Q486" s="9" t="str">
        <f>IFERROR(__xludf.DUMMYFUNCTION("""COMPUTED_VALUE"""),"Q2'22")</f>
        <v>Q2'22</v>
      </c>
      <c r="R486" s="9">
        <f>IFERROR(__xludf.DUMMYFUNCTION("""COMPUTED_VALUE"""),1.9902568901854742)</f>
        <v>1.99025689</v>
      </c>
    </row>
    <row r="487" ht="14.25" customHeight="1">
      <c r="A487" s="3" t="s">
        <v>24</v>
      </c>
      <c r="B487" s="6" t="s">
        <v>38</v>
      </c>
      <c r="C487" s="3" t="s">
        <v>40</v>
      </c>
      <c r="D487" s="3" t="s">
        <v>13</v>
      </c>
      <c r="E487" s="3" t="s">
        <v>14</v>
      </c>
      <c r="F487" s="3">
        <v>110.0</v>
      </c>
      <c r="G487" s="4" t="s">
        <v>17</v>
      </c>
      <c r="H487" s="3">
        <v>2.2052162973069023</v>
      </c>
      <c r="K487" s="9" t="str">
        <f>IFERROR(__xludf.DUMMYFUNCTION("""COMPUTED_VALUE"""),"TT Off Central")</f>
        <v>TT Off Central</v>
      </c>
      <c r="L487" s="9" t="str">
        <f>IFERROR(__xludf.DUMMYFUNCTION("""COMPUTED_VALUE"""),"Joyi")</f>
        <v>Joyi</v>
      </c>
      <c r="M487" s="9" t="str">
        <f>IFERROR(__xludf.DUMMYFUNCTION("""COMPUTED_VALUE"""),"Star")</f>
        <v>Star</v>
      </c>
      <c r="N487" s="9" t="str">
        <f>IFERROR(__xludf.DUMMYFUNCTION("""COMPUTED_VALUE"""),"Sweetened")</f>
        <v>Sweetened</v>
      </c>
      <c r="O487" s="9" t="str">
        <f>IFERROR(__xludf.DUMMYFUNCTION("""COMPUTED_VALUE"""),"Carton")</f>
        <v>Carton</v>
      </c>
      <c r="P487" s="9">
        <f>IFERROR(__xludf.DUMMYFUNCTION("""COMPUTED_VALUE"""),110.0)</f>
        <v>110</v>
      </c>
      <c r="Q487" s="9" t="str">
        <f>IFERROR(__xludf.DUMMYFUNCTION("""COMPUTED_VALUE"""),"Q3'22")</f>
        <v>Q3'22</v>
      </c>
      <c r="R487" s="9">
        <f>IFERROR(__xludf.DUMMYFUNCTION("""COMPUTED_VALUE"""),1.8307826945372894)</f>
        <v>1.830782695</v>
      </c>
    </row>
    <row r="488" ht="14.25" customHeight="1">
      <c r="A488" s="3" t="s">
        <v>24</v>
      </c>
      <c r="B488" s="6" t="s">
        <v>38</v>
      </c>
      <c r="C488" s="3" t="s">
        <v>40</v>
      </c>
      <c r="D488" s="3" t="s">
        <v>13</v>
      </c>
      <c r="E488" s="3" t="s">
        <v>14</v>
      </c>
      <c r="F488" s="3">
        <v>110.0</v>
      </c>
      <c r="G488" s="4" t="s">
        <v>18</v>
      </c>
      <c r="H488" s="3">
        <v>2.37065191897448</v>
      </c>
      <c r="K488" s="9" t="str">
        <f>IFERROR(__xludf.DUMMYFUNCTION("""COMPUTED_VALUE"""),"TT Off Central")</f>
        <v>TT Off Central</v>
      </c>
      <c r="L488" s="9" t="str">
        <f>IFERROR(__xludf.DUMMYFUNCTION("""COMPUTED_VALUE"""),"Joyi")</f>
        <v>Joyi</v>
      </c>
      <c r="M488" s="9" t="str">
        <f>IFERROR(__xludf.DUMMYFUNCTION("""COMPUTED_VALUE"""),"Star")</f>
        <v>Star</v>
      </c>
      <c r="N488" s="9" t="str">
        <f>IFERROR(__xludf.DUMMYFUNCTION("""COMPUTED_VALUE"""),"Sweetened")</f>
        <v>Sweetened</v>
      </c>
      <c r="O488" s="9" t="str">
        <f>IFERROR(__xludf.DUMMYFUNCTION("""COMPUTED_VALUE"""),"Carton")</f>
        <v>Carton</v>
      </c>
      <c r="P488" s="9">
        <f>IFERROR(__xludf.DUMMYFUNCTION("""COMPUTED_VALUE"""),110.0)</f>
        <v>110</v>
      </c>
      <c r="Q488" s="9" t="str">
        <f>IFERROR(__xludf.DUMMYFUNCTION("""COMPUTED_VALUE"""),"Q4'22")</f>
        <v>Q4'22</v>
      </c>
      <c r="R488" s="9">
        <f>IFERROR(__xludf.DUMMYFUNCTION("""COMPUTED_VALUE"""),1.5754565505653688)</f>
        <v>1.575456551</v>
      </c>
    </row>
    <row r="489" ht="14.25" customHeight="1">
      <c r="A489" s="3" t="s">
        <v>24</v>
      </c>
      <c r="B489" s="6" t="s">
        <v>38</v>
      </c>
      <c r="C489" s="3" t="s">
        <v>40</v>
      </c>
      <c r="D489" s="3" t="s">
        <v>13</v>
      </c>
      <c r="E489" s="3" t="s">
        <v>14</v>
      </c>
      <c r="F489" s="3">
        <v>110.0</v>
      </c>
      <c r="G489" s="4" t="s">
        <v>19</v>
      </c>
      <c r="H489" s="3">
        <v>2.089535308670603</v>
      </c>
      <c r="K489" s="9" t="str">
        <f>IFERROR(__xludf.DUMMYFUNCTION("""COMPUTED_VALUE"""),"TT Off Central")</f>
        <v>TT Off Central</v>
      </c>
      <c r="L489" s="9" t="str">
        <f>IFERROR(__xludf.DUMMYFUNCTION("""COMPUTED_VALUE"""),"Joyi")</f>
        <v>Joyi</v>
      </c>
      <c r="M489" s="9" t="str">
        <f>IFERROR(__xludf.DUMMYFUNCTION("""COMPUTED_VALUE"""),"Star")</f>
        <v>Star</v>
      </c>
      <c r="N489" s="9" t="str">
        <f>IFERROR(__xludf.DUMMYFUNCTION("""COMPUTED_VALUE"""),"Sweetened")</f>
        <v>Sweetened</v>
      </c>
      <c r="O489" s="9" t="str">
        <f>IFERROR(__xludf.DUMMYFUNCTION("""COMPUTED_VALUE"""),"Carton")</f>
        <v>Carton</v>
      </c>
      <c r="P489" s="9">
        <f>IFERROR(__xludf.DUMMYFUNCTION("""COMPUTED_VALUE"""),110.0)</f>
        <v>110</v>
      </c>
      <c r="Q489" s="9" t="str">
        <f>IFERROR(__xludf.DUMMYFUNCTION("""COMPUTED_VALUE"""),"Q1'23")</f>
        <v>Q1'23</v>
      </c>
      <c r="R489" s="9">
        <f>IFERROR(__xludf.DUMMYFUNCTION("""COMPUTED_VALUE"""),1.5661687250234764)</f>
        <v>1.566168725</v>
      </c>
    </row>
    <row r="490" ht="14.25" customHeight="1">
      <c r="A490" s="3" t="s">
        <v>24</v>
      </c>
      <c r="B490" s="6" t="s">
        <v>38</v>
      </c>
      <c r="C490" s="3" t="s">
        <v>40</v>
      </c>
      <c r="D490" s="3" t="s">
        <v>13</v>
      </c>
      <c r="E490" s="3" t="s">
        <v>14</v>
      </c>
      <c r="F490" s="3">
        <v>110.0</v>
      </c>
      <c r="G490" s="4" t="s">
        <v>20</v>
      </c>
      <c r="H490" s="3">
        <v>1.3710166326652418</v>
      </c>
      <c r="K490" s="9" t="str">
        <f>IFERROR(__xludf.DUMMYFUNCTION("""COMPUTED_VALUE"""),"TT Off Central")</f>
        <v>TT Off Central</v>
      </c>
      <c r="L490" s="9" t="str">
        <f>IFERROR(__xludf.DUMMYFUNCTION("""COMPUTED_VALUE"""),"Joyi")</f>
        <v>Joyi</v>
      </c>
      <c r="M490" s="9" t="str">
        <f>IFERROR(__xludf.DUMMYFUNCTION("""COMPUTED_VALUE"""),"Star")</f>
        <v>Star</v>
      </c>
      <c r="N490" s="9" t="str">
        <f>IFERROR(__xludf.DUMMYFUNCTION("""COMPUTED_VALUE"""),"Sweetened")</f>
        <v>Sweetened</v>
      </c>
      <c r="O490" s="9" t="str">
        <f>IFERROR(__xludf.DUMMYFUNCTION("""COMPUTED_VALUE"""),"Carton")</f>
        <v>Carton</v>
      </c>
      <c r="P490" s="9">
        <f>IFERROR(__xludf.DUMMYFUNCTION("""COMPUTED_VALUE"""),110.0)</f>
        <v>110</v>
      </c>
      <c r="Q490" s="9" t="str">
        <f>IFERROR(__xludf.DUMMYFUNCTION("""COMPUTED_VALUE"""),"Q2'23")</f>
        <v>Q2'23</v>
      </c>
      <c r="R490" s="9">
        <f>IFERROR(__xludf.DUMMYFUNCTION("""COMPUTED_VALUE"""),1.1196526356561267)</f>
        <v>1.119652636</v>
      </c>
    </row>
    <row r="491" ht="14.25" customHeight="1">
      <c r="A491" s="3" t="s">
        <v>24</v>
      </c>
      <c r="B491" s="6" t="s">
        <v>38</v>
      </c>
      <c r="C491" s="3" t="s">
        <v>40</v>
      </c>
      <c r="D491" s="3" t="s">
        <v>13</v>
      </c>
      <c r="E491" s="3" t="s">
        <v>14</v>
      </c>
      <c r="F491" s="3">
        <v>110.0</v>
      </c>
      <c r="G491" s="4" t="s">
        <v>21</v>
      </c>
      <c r="H491" s="3">
        <v>1.4224620545069593</v>
      </c>
      <c r="K491" s="9" t="str">
        <f>IFERROR(__xludf.DUMMYFUNCTION("""COMPUTED_VALUE"""),"TT Off Central")</f>
        <v>TT Off Central</v>
      </c>
      <c r="L491" s="9" t="str">
        <f>IFERROR(__xludf.DUMMYFUNCTION("""COMPUTED_VALUE"""),"Joyi")</f>
        <v>Joyi</v>
      </c>
      <c r="M491" s="9" t="str">
        <f>IFERROR(__xludf.DUMMYFUNCTION("""COMPUTED_VALUE"""),"Star")</f>
        <v>Star</v>
      </c>
      <c r="N491" s="9" t="str">
        <f>IFERROR(__xludf.DUMMYFUNCTION("""COMPUTED_VALUE"""),"Sweetened")</f>
        <v>Sweetened</v>
      </c>
      <c r="O491" s="9" t="str">
        <f>IFERROR(__xludf.DUMMYFUNCTION("""COMPUTED_VALUE"""),"Carton")</f>
        <v>Carton</v>
      </c>
      <c r="P491" s="9">
        <f>IFERROR(__xludf.DUMMYFUNCTION("""COMPUTED_VALUE"""),110.0)</f>
        <v>110</v>
      </c>
      <c r="Q491" s="9" t="str">
        <f>IFERROR(__xludf.DUMMYFUNCTION("""COMPUTED_VALUE"""),"Q3'23")</f>
        <v>Q3'23</v>
      </c>
      <c r="R491" s="9">
        <f>IFERROR(__xludf.DUMMYFUNCTION("""COMPUTED_VALUE"""),1.1377945415251354)</f>
        <v>1.137794542</v>
      </c>
    </row>
    <row r="492" ht="14.25" customHeight="1">
      <c r="A492" s="3" t="s">
        <v>24</v>
      </c>
      <c r="B492" s="6" t="s">
        <v>38</v>
      </c>
      <c r="C492" s="3" t="s">
        <v>40</v>
      </c>
      <c r="D492" s="3" t="s">
        <v>13</v>
      </c>
      <c r="E492" s="3" t="s">
        <v>14</v>
      </c>
      <c r="F492" s="3">
        <v>110.0</v>
      </c>
      <c r="G492" s="4" t="s">
        <v>22</v>
      </c>
      <c r="H492" s="3">
        <v>1.2764712397509752</v>
      </c>
      <c r="K492" s="9" t="str">
        <f>IFERROR(__xludf.DUMMYFUNCTION("""COMPUTED_VALUE"""),"TT Off Central")</f>
        <v>TT Off Central</v>
      </c>
      <c r="L492" s="9" t="str">
        <f>IFERROR(__xludf.DUMMYFUNCTION("""COMPUTED_VALUE"""),"Joyi")</f>
        <v>Joyi</v>
      </c>
      <c r="M492" s="9" t="str">
        <f>IFERROR(__xludf.DUMMYFUNCTION("""COMPUTED_VALUE"""),"Star")</f>
        <v>Star</v>
      </c>
      <c r="N492" s="9" t="str">
        <f>IFERROR(__xludf.DUMMYFUNCTION("""COMPUTED_VALUE"""),"Sweetened")</f>
        <v>Sweetened</v>
      </c>
      <c r="O492" s="9" t="str">
        <f>IFERROR(__xludf.DUMMYFUNCTION("""COMPUTED_VALUE"""),"Carton")</f>
        <v>Carton</v>
      </c>
      <c r="P492" s="9">
        <f>IFERROR(__xludf.DUMMYFUNCTION("""COMPUTED_VALUE"""),110.0)</f>
        <v>110</v>
      </c>
      <c r="Q492" s="9" t="str">
        <f>IFERROR(__xludf.DUMMYFUNCTION("""COMPUTED_VALUE"""),"Q4'23")</f>
        <v>Q4'23</v>
      </c>
      <c r="R492" s="9">
        <f>IFERROR(__xludf.DUMMYFUNCTION("""COMPUTED_VALUE"""),0.9752815416107021)</f>
        <v>0.9752815416</v>
      </c>
    </row>
    <row r="493" ht="14.25" customHeight="1">
      <c r="A493" s="3" t="s">
        <v>24</v>
      </c>
      <c r="B493" s="6" t="s">
        <v>38</v>
      </c>
      <c r="C493" s="3" t="s">
        <v>40</v>
      </c>
      <c r="D493" s="3" t="s">
        <v>13</v>
      </c>
      <c r="E493" s="3" t="s">
        <v>14</v>
      </c>
      <c r="F493" s="3">
        <v>180.0</v>
      </c>
      <c r="G493" s="4" t="s">
        <v>15</v>
      </c>
      <c r="H493" s="3">
        <v>4.207838361214767</v>
      </c>
      <c r="K493" s="9" t="str">
        <f>IFERROR(__xludf.DUMMYFUNCTION("""COMPUTED_VALUE"""),"TT Off Central")</f>
        <v>TT Off Central</v>
      </c>
      <c r="L493" s="9" t="str">
        <f>IFERROR(__xludf.DUMMYFUNCTION("""COMPUTED_VALUE"""),"Joyi")</f>
        <v>Joyi</v>
      </c>
      <c r="M493" s="9" t="str">
        <f>IFERROR(__xludf.DUMMYFUNCTION("""COMPUTED_VALUE"""),"Star")</f>
        <v>Star</v>
      </c>
      <c r="N493" s="9" t="str">
        <f>IFERROR(__xludf.DUMMYFUNCTION("""COMPUTED_VALUE"""),"Sweetened")</f>
        <v>Sweetened</v>
      </c>
      <c r="O493" s="9" t="str">
        <f>IFERROR(__xludf.DUMMYFUNCTION("""COMPUTED_VALUE"""),"Carton")</f>
        <v>Carton</v>
      </c>
      <c r="P493" s="9">
        <f>IFERROR(__xludf.DUMMYFUNCTION("""COMPUTED_VALUE"""),180.0)</f>
        <v>180</v>
      </c>
      <c r="Q493" s="9" t="str">
        <f>IFERROR(__xludf.DUMMYFUNCTION("""COMPUTED_VALUE"""),"Q1'22")</f>
        <v>Q1'22</v>
      </c>
      <c r="R493" s="9">
        <f>IFERROR(__xludf.DUMMYFUNCTION("""COMPUTED_VALUE"""),3.8410932618764257)</f>
        <v>3.841093262</v>
      </c>
    </row>
    <row r="494" ht="14.25" customHeight="1">
      <c r="A494" s="3" t="s">
        <v>24</v>
      </c>
      <c r="B494" s="6" t="s">
        <v>38</v>
      </c>
      <c r="C494" s="3" t="s">
        <v>40</v>
      </c>
      <c r="D494" s="3" t="s">
        <v>13</v>
      </c>
      <c r="E494" s="3" t="s">
        <v>14</v>
      </c>
      <c r="F494" s="3">
        <v>180.0</v>
      </c>
      <c r="G494" s="4" t="s">
        <v>16</v>
      </c>
      <c r="H494" s="3">
        <v>4.775982282718948</v>
      </c>
      <c r="K494" s="9" t="str">
        <f>IFERROR(__xludf.DUMMYFUNCTION("""COMPUTED_VALUE"""),"TT Off Central")</f>
        <v>TT Off Central</v>
      </c>
      <c r="L494" s="9" t="str">
        <f>IFERROR(__xludf.DUMMYFUNCTION("""COMPUTED_VALUE"""),"Joyi")</f>
        <v>Joyi</v>
      </c>
      <c r="M494" s="9" t="str">
        <f>IFERROR(__xludf.DUMMYFUNCTION("""COMPUTED_VALUE"""),"Star")</f>
        <v>Star</v>
      </c>
      <c r="N494" s="9" t="str">
        <f>IFERROR(__xludf.DUMMYFUNCTION("""COMPUTED_VALUE"""),"Sweetened")</f>
        <v>Sweetened</v>
      </c>
      <c r="O494" s="9" t="str">
        <f>IFERROR(__xludf.DUMMYFUNCTION("""COMPUTED_VALUE"""),"Carton")</f>
        <v>Carton</v>
      </c>
      <c r="P494" s="9">
        <f>IFERROR(__xludf.DUMMYFUNCTION("""COMPUTED_VALUE"""),180.0)</f>
        <v>180</v>
      </c>
      <c r="Q494" s="9" t="str">
        <f>IFERROR(__xludf.DUMMYFUNCTION("""COMPUTED_VALUE"""),"Q2'22")</f>
        <v>Q2'22</v>
      </c>
      <c r="R494" s="9">
        <f>IFERROR(__xludf.DUMMYFUNCTION("""COMPUTED_VALUE"""),4.234605239472914)</f>
        <v>4.234605239</v>
      </c>
    </row>
    <row r="495" ht="14.25" customHeight="1">
      <c r="A495" s="3" t="s">
        <v>24</v>
      </c>
      <c r="B495" s="6" t="s">
        <v>38</v>
      </c>
      <c r="C495" s="3" t="s">
        <v>40</v>
      </c>
      <c r="D495" s="3" t="s">
        <v>13</v>
      </c>
      <c r="E495" s="3" t="s">
        <v>14</v>
      </c>
      <c r="F495" s="3">
        <v>180.0</v>
      </c>
      <c r="G495" s="4" t="s">
        <v>17</v>
      </c>
      <c r="H495" s="3">
        <v>4.966823385976377</v>
      </c>
      <c r="K495" s="9" t="str">
        <f>IFERROR(__xludf.DUMMYFUNCTION("""COMPUTED_VALUE"""),"TT Off Central")</f>
        <v>TT Off Central</v>
      </c>
      <c r="L495" s="9" t="str">
        <f>IFERROR(__xludf.DUMMYFUNCTION("""COMPUTED_VALUE"""),"Joyi")</f>
        <v>Joyi</v>
      </c>
      <c r="M495" s="9" t="str">
        <f>IFERROR(__xludf.DUMMYFUNCTION("""COMPUTED_VALUE"""),"Star")</f>
        <v>Star</v>
      </c>
      <c r="N495" s="9" t="str">
        <f>IFERROR(__xludf.DUMMYFUNCTION("""COMPUTED_VALUE"""),"Sweetened")</f>
        <v>Sweetened</v>
      </c>
      <c r="O495" s="9" t="str">
        <f>IFERROR(__xludf.DUMMYFUNCTION("""COMPUTED_VALUE"""),"Carton")</f>
        <v>Carton</v>
      </c>
      <c r="P495" s="9">
        <f>IFERROR(__xludf.DUMMYFUNCTION("""COMPUTED_VALUE"""),180.0)</f>
        <v>180</v>
      </c>
      <c r="Q495" s="9" t="str">
        <f>IFERROR(__xludf.DUMMYFUNCTION("""COMPUTED_VALUE"""),"Q3'22")</f>
        <v>Q3'22</v>
      </c>
      <c r="R495" s="9">
        <f>IFERROR(__xludf.DUMMYFUNCTION("""COMPUTED_VALUE"""),4.300392213234873)</f>
        <v>4.300392213</v>
      </c>
    </row>
    <row r="496" ht="14.25" customHeight="1">
      <c r="A496" s="3" t="s">
        <v>24</v>
      </c>
      <c r="B496" s="6" t="s">
        <v>38</v>
      </c>
      <c r="C496" s="3" t="s">
        <v>40</v>
      </c>
      <c r="D496" s="3" t="s">
        <v>13</v>
      </c>
      <c r="E496" s="3" t="s">
        <v>14</v>
      </c>
      <c r="F496" s="3">
        <v>180.0</v>
      </c>
      <c r="G496" s="4" t="s">
        <v>18</v>
      </c>
      <c r="H496" s="3">
        <v>4.671321365143249</v>
      </c>
      <c r="K496" s="9" t="str">
        <f>IFERROR(__xludf.DUMMYFUNCTION("""COMPUTED_VALUE"""),"TT Off Central")</f>
        <v>TT Off Central</v>
      </c>
      <c r="L496" s="9" t="str">
        <f>IFERROR(__xludf.DUMMYFUNCTION("""COMPUTED_VALUE"""),"Joyi")</f>
        <v>Joyi</v>
      </c>
      <c r="M496" s="9" t="str">
        <f>IFERROR(__xludf.DUMMYFUNCTION("""COMPUTED_VALUE"""),"Star")</f>
        <v>Star</v>
      </c>
      <c r="N496" s="9" t="str">
        <f>IFERROR(__xludf.DUMMYFUNCTION("""COMPUTED_VALUE"""),"Sweetened")</f>
        <v>Sweetened</v>
      </c>
      <c r="O496" s="9" t="str">
        <f>IFERROR(__xludf.DUMMYFUNCTION("""COMPUTED_VALUE"""),"Carton")</f>
        <v>Carton</v>
      </c>
      <c r="P496" s="9">
        <f>IFERROR(__xludf.DUMMYFUNCTION("""COMPUTED_VALUE"""),180.0)</f>
        <v>180</v>
      </c>
      <c r="Q496" s="9" t="str">
        <f>IFERROR(__xludf.DUMMYFUNCTION("""COMPUTED_VALUE"""),"Q4'22")</f>
        <v>Q4'22</v>
      </c>
      <c r="R496" s="9">
        <f>IFERROR(__xludf.DUMMYFUNCTION("""COMPUTED_VALUE"""),3.490897985713105)</f>
        <v>3.490897986</v>
      </c>
    </row>
    <row r="497" ht="14.25" customHeight="1">
      <c r="A497" s="3" t="s">
        <v>24</v>
      </c>
      <c r="B497" s="6" t="s">
        <v>38</v>
      </c>
      <c r="C497" s="3" t="s">
        <v>40</v>
      </c>
      <c r="D497" s="3" t="s">
        <v>13</v>
      </c>
      <c r="E497" s="3" t="s">
        <v>14</v>
      </c>
      <c r="F497" s="3">
        <v>180.0</v>
      </c>
      <c r="G497" s="4" t="s">
        <v>19</v>
      </c>
      <c r="H497" s="3">
        <v>4.752100865950941</v>
      </c>
      <c r="K497" s="9" t="str">
        <f>IFERROR(__xludf.DUMMYFUNCTION("""COMPUTED_VALUE"""),"TT Off Central")</f>
        <v>TT Off Central</v>
      </c>
      <c r="L497" s="9" t="str">
        <f>IFERROR(__xludf.DUMMYFUNCTION("""COMPUTED_VALUE"""),"Joyi")</f>
        <v>Joyi</v>
      </c>
      <c r="M497" s="9" t="str">
        <f>IFERROR(__xludf.DUMMYFUNCTION("""COMPUTED_VALUE"""),"Star")</f>
        <v>Star</v>
      </c>
      <c r="N497" s="9" t="str">
        <f>IFERROR(__xludf.DUMMYFUNCTION("""COMPUTED_VALUE"""),"Sweetened")</f>
        <v>Sweetened</v>
      </c>
      <c r="O497" s="9" t="str">
        <f>IFERROR(__xludf.DUMMYFUNCTION("""COMPUTED_VALUE"""),"Carton")</f>
        <v>Carton</v>
      </c>
      <c r="P497" s="9">
        <f>IFERROR(__xludf.DUMMYFUNCTION("""COMPUTED_VALUE"""),180.0)</f>
        <v>180</v>
      </c>
      <c r="Q497" s="9" t="str">
        <f>IFERROR(__xludf.DUMMYFUNCTION("""COMPUTED_VALUE"""),"Q1'23")</f>
        <v>Q1'23</v>
      </c>
      <c r="R497" s="9">
        <f>IFERROR(__xludf.DUMMYFUNCTION("""COMPUTED_VALUE"""),3.1893661471856896)</f>
        <v>3.189366147</v>
      </c>
    </row>
    <row r="498" ht="14.25" customHeight="1">
      <c r="A498" s="3" t="s">
        <v>24</v>
      </c>
      <c r="B498" s="6" t="s">
        <v>38</v>
      </c>
      <c r="C498" s="3" t="s">
        <v>40</v>
      </c>
      <c r="D498" s="3" t="s">
        <v>13</v>
      </c>
      <c r="E498" s="3" t="s">
        <v>14</v>
      </c>
      <c r="F498" s="3">
        <v>180.0</v>
      </c>
      <c r="G498" s="4" t="s">
        <v>20</v>
      </c>
      <c r="H498" s="3">
        <v>4.161496508899141</v>
      </c>
      <c r="K498" s="9" t="str">
        <f>IFERROR(__xludf.DUMMYFUNCTION("""COMPUTED_VALUE"""),"TT Off Central")</f>
        <v>TT Off Central</v>
      </c>
      <c r="L498" s="9" t="str">
        <f>IFERROR(__xludf.DUMMYFUNCTION("""COMPUTED_VALUE"""),"Joyi")</f>
        <v>Joyi</v>
      </c>
      <c r="M498" s="9" t="str">
        <f>IFERROR(__xludf.DUMMYFUNCTION("""COMPUTED_VALUE"""),"Star")</f>
        <v>Star</v>
      </c>
      <c r="N498" s="9" t="str">
        <f>IFERROR(__xludf.DUMMYFUNCTION("""COMPUTED_VALUE"""),"Sweetened")</f>
        <v>Sweetened</v>
      </c>
      <c r="O498" s="9" t="str">
        <f>IFERROR(__xludf.DUMMYFUNCTION("""COMPUTED_VALUE"""),"Carton")</f>
        <v>Carton</v>
      </c>
      <c r="P498" s="9">
        <f>IFERROR(__xludf.DUMMYFUNCTION("""COMPUTED_VALUE"""),180.0)</f>
        <v>180</v>
      </c>
      <c r="Q498" s="9" t="str">
        <f>IFERROR(__xludf.DUMMYFUNCTION("""COMPUTED_VALUE"""),"Q2'23")</f>
        <v>Q2'23</v>
      </c>
      <c r="R498" s="9">
        <f>IFERROR(__xludf.DUMMYFUNCTION("""COMPUTED_VALUE"""),2.379714296261201)</f>
        <v>2.379714296</v>
      </c>
    </row>
    <row r="499" ht="14.25" customHeight="1">
      <c r="A499" s="3" t="s">
        <v>24</v>
      </c>
      <c r="B499" s="6" t="s">
        <v>38</v>
      </c>
      <c r="C499" s="3" t="s">
        <v>40</v>
      </c>
      <c r="D499" s="3" t="s">
        <v>13</v>
      </c>
      <c r="E499" s="3" t="s">
        <v>14</v>
      </c>
      <c r="F499" s="3">
        <v>180.0</v>
      </c>
      <c r="G499" s="4" t="s">
        <v>21</v>
      </c>
      <c r="H499" s="3">
        <v>3.5974532310117766</v>
      </c>
      <c r="K499" s="9" t="str">
        <f>IFERROR(__xludf.DUMMYFUNCTION("""COMPUTED_VALUE"""),"TT Off Central")</f>
        <v>TT Off Central</v>
      </c>
      <c r="L499" s="9" t="str">
        <f>IFERROR(__xludf.DUMMYFUNCTION("""COMPUTED_VALUE"""),"Joyi")</f>
        <v>Joyi</v>
      </c>
      <c r="M499" s="9" t="str">
        <f>IFERROR(__xludf.DUMMYFUNCTION("""COMPUTED_VALUE"""),"Star")</f>
        <v>Star</v>
      </c>
      <c r="N499" s="9" t="str">
        <f>IFERROR(__xludf.DUMMYFUNCTION("""COMPUTED_VALUE"""),"Sweetened")</f>
        <v>Sweetened</v>
      </c>
      <c r="O499" s="9" t="str">
        <f>IFERROR(__xludf.DUMMYFUNCTION("""COMPUTED_VALUE"""),"Carton")</f>
        <v>Carton</v>
      </c>
      <c r="P499" s="9">
        <f>IFERROR(__xludf.DUMMYFUNCTION("""COMPUTED_VALUE"""),180.0)</f>
        <v>180</v>
      </c>
      <c r="Q499" s="9" t="str">
        <f>IFERROR(__xludf.DUMMYFUNCTION("""COMPUTED_VALUE"""),"Q3'23")</f>
        <v>Q3'23</v>
      </c>
      <c r="R499" s="9">
        <f>IFERROR(__xludf.DUMMYFUNCTION("""COMPUTED_VALUE"""),2.333032251077174)</f>
        <v>2.333032251</v>
      </c>
    </row>
    <row r="500" ht="14.25" customHeight="1">
      <c r="A500" s="3" t="s">
        <v>24</v>
      </c>
      <c r="B500" s="6" t="s">
        <v>38</v>
      </c>
      <c r="C500" s="3" t="s">
        <v>40</v>
      </c>
      <c r="D500" s="3" t="s">
        <v>13</v>
      </c>
      <c r="E500" s="3" t="s">
        <v>14</v>
      </c>
      <c r="F500" s="3">
        <v>180.0</v>
      </c>
      <c r="G500" s="4" t="s">
        <v>22</v>
      </c>
      <c r="H500" s="3">
        <v>3.5049382840869843</v>
      </c>
      <c r="K500" s="9" t="str">
        <f>IFERROR(__xludf.DUMMYFUNCTION("""COMPUTED_VALUE"""),"TT Off Central")</f>
        <v>TT Off Central</v>
      </c>
      <c r="L500" s="9" t="str">
        <f>IFERROR(__xludf.DUMMYFUNCTION("""COMPUTED_VALUE"""),"Joyi")</f>
        <v>Joyi</v>
      </c>
      <c r="M500" s="9" t="str">
        <f>IFERROR(__xludf.DUMMYFUNCTION("""COMPUTED_VALUE"""),"Star")</f>
        <v>Star</v>
      </c>
      <c r="N500" s="9" t="str">
        <f>IFERROR(__xludf.DUMMYFUNCTION("""COMPUTED_VALUE"""),"Sweetened")</f>
        <v>Sweetened</v>
      </c>
      <c r="O500" s="9" t="str">
        <f>IFERROR(__xludf.DUMMYFUNCTION("""COMPUTED_VALUE"""),"Carton")</f>
        <v>Carton</v>
      </c>
      <c r="P500" s="9">
        <f>IFERROR(__xludf.DUMMYFUNCTION("""COMPUTED_VALUE"""),180.0)</f>
        <v>180</v>
      </c>
      <c r="Q500" s="9" t="str">
        <f>IFERROR(__xludf.DUMMYFUNCTION("""COMPUTED_VALUE"""),"Q4'23")</f>
        <v>Q4'23</v>
      </c>
      <c r="R500" s="9">
        <f>IFERROR(__xludf.DUMMYFUNCTION("""COMPUTED_VALUE"""),2.4539635689020987)</f>
        <v>2.453963569</v>
      </c>
    </row>
    <row r="501" ht="14.25" customHeight="1">
      <c r="A501" s="3" t="s">
        <v>24</v>
      </c>
      <c r="B501" s="6" t="s">
        <v>38</v>
      </c>
      <c r="C501" s="3" t="s">
        <v>40</v>
      </c>
      <c r="D501" s="3" t="s">
        <v>13</v>
      </c>
      <c r="E501" s="3" t="s">
        <v>29</v>
      </c>
      <c r="F501" s="3">
        <v>220.0</v>
      </c>
      <c r="G501" s="4" t="s">
        <v>15</v>
      </c>
      <c r="H501" s="3">
        <v>0.054573369300068585</v>
      </c>
      <c r="K501" s="9" t="str">
        <f>IFERROR(__xludf.DUMMYFUNCTION("""COMPUTED_VALUE"""),"TT Off Central")</f>
        <v>TT Off Central</v>
      </c>
      <c r="L501" s="9" t="str">
        <f>IFERROR(__xludf.DUMMYFUNCTION("""COMPUTED_VALUE"""),"Joyi")</f>
        <v>Joyi</v>
      </c>
      <c r="M501" s="9" t="str">
        <f>IFERROR(__xludf.DUMMYFUNCTION("""COMPUTED_VALUE"""),"Star")</f>
        <v>Star</v>
      </c>
      <c r="N501" s="9" t="str">
        <f>IFERROR(__xludf.DUMMYFUNCTION("""COMPUTED_VALUE"""),"Sweetened")</f>
        <v>Sweetened</v>
      </c>
      <c r="O501" s="9" t="str">
        <f>IFERROR(__xludf.DUMMYFUNCTION("""COMPUTED_VALUE"""),"TFA")</f>
        <v>TFA</v>
      </c>
      <c r="P501" s="9">
        <f>IFERROR(__xludf.DUMMYFUNCTION("""COMPUTED_VALUE"""),220.0)</f>
        <v>220</v>
      </c>
      <c r="Q501" s="9" t="str">
        <f>IFERROR(__xludf.DUMMYFUNCTION("""COMPUTED_VALUE"""),"Q1'22")</f>
        <v>Q1'22</v>
      </c>
      <c r="R501" s="9">
        <f>IFERROR(__xludf.DUMMYFUNCTION("""COMPUTED_VALUE"""),0.6720854176925954)</f>
        <v>0.6720854177</v>
      </c>
    </row>
    <row r="502" ht="14.25" customHeight="1">
      <c r="A502" s="3" t="s">
        <v>24</v>
      </c>
      <c r="B502" s="6" t="s">
        <v>38</v>
      </c>
      <c r="C502" s="3" t="s">
        <v>40</v>
      </c>
      <c r="D502" s="3" t="s">
        <v>13</v>
      </c>
      <c r="E502" s="3" t="s">
        <v>29</v>
      </c>
      <c r="F502" s="3">
        <v>220.0</v>
      </c>
      <c r="G502" s="4" t="s">
        <v>16</v>
      </c>
      <c r="H502" s="3">
        <v>0.17561467417249232</v>
      </c>
      <c r="K502" s="9" t="str">
        <f>IFERROR(__xludf.DUMMYFUNCTION("""COMPUTED_VALUE"""),"TT Off Central")</f>
        <v>TT Off Central</v>
      </c>
      <c r="L502" s="9" t="str">
        <f>IFERROR(__xludf.DUMMYFUNCTION("""COMPUTED_VALUE"""),"Joyi")</f>
        <v>Joyi</v>
      </c>
      <c r="M502" s="9" t="str">
        <f>IFERROR(__xludf.DUMMYFUNCTION("""COMPUTED_VALUE"""),"Star")</f>
        <v>Star</v>
      </c>
      <c r="N502" s="9" t="str">
        <f>IFERROR(__xludf.DUMMYFUNCTION("""COMPUTED_VALUE"""),"Sweetened")</f>
        <v>Sweetened</v>
      </c>
      <c r="O502" s="9" t="str">
        <f>IFERROR(__xludf.DUMMYFUNCTION("""COMPUTED_VALUE"""),"TFA")</f>
        <v>TFA</v>
      </c>
      <c r="P502" s="9">
        <f>IFERROR(__xludf.DUMMYFUNCTION("""COMPUTED_VALUE"""),220.0)</f>
        <v>220</v>
      </c>
      <c r="Q502" s="9" t="str">
        <f>IFERROR(__xludf.DUMMYFUNCTION("""COMPUTED_VALUE"""),"Q2'22")</f>
        <v>Q2'22</v>
      </c>
      <c r="R502" s="9">
        <f>IFERROR(__xludf.DUMMYFUNCTION("""COMPUTED_VALUE"""),0.892451418786093)</f>
        <v>0.8924514188</v>
      </c>
    </row>
    <row r="503" ht="14.25" customHeight="1">
      <c r="A503" s="3" t="s">
        <v>24</v>
      </c>
      <c r="B503" s="6" t="s">
        <v>38</v>
      </c>
      <c r="C503" s="3" t="s">
        <v>40</v>
      </c>
      <c r="D503" s="3" t="s">
        <v>13</v>
      </c>
      <c r="E503" s="3" t="s">
        <v>29</v>
      </c>
      <c r="F503" s="3">
        <v>220.0</v>
      </c>
      <c r="G503" s="4" t="s">
        <v>17</v>
      </c>
      <c r="H503" s="3">
        <v>0.24491761284516558</v>
      </c>
      <c r="K503" s="9" t="str">
        <f>IFERROR(__xludf.DUMMYFUNCTION("""COMPUTED_VALUE"""),"TT Off Central")</f>
        <v>TT Off Central</v>
      </c>
      <c r="L503" s="9" t="str">
        <f>IFERROR(__xludf.DUMMYFUNCTION("""COMPUTED_VALUE"""),"Joyi")</f>
        <v>Joyi</v>
      </c>
      <c r="M503" s="9" t="str">
        <f>IFERROR(__xludf.DUMMYFUNCTION("""COMPUTED_VALUE"""),"Star")</f>
        <v>Star</v>
      </c>
      <c r="N503" s="9" t="str">
        <f>IFERROR(__xludf.DUMMYFUNCTION("""COMPUTED_VALUE"""),"Sweetened")</f>
        <v>Sweetened</v>
      </c>
      <c r="O503" s="9" t="str">
        <f>IFERROR(__xludf.DUMMYFUNCTION("""COMPUTED_VALUE"""),"TFA")</f>
        <v>TFA</v>
      </c>
      <c r="P503" s="9">
        <f>IFERROR(__xludf.DUMMYFUNCTION("""COMPUTED_VALUE"""),220.0)</f>
        <v>220</v>
      </c>
      <c r="Q503" s="9" t="str">
        <f>IFERROR(__xludf.DUMMYFUNCTION("""COMPUTED_VALUE"""),"Q3'22")</f>
        <v>Q3'22</v>
      </c>
      <c r="R503" s="9">
        <f>IFERROR(__xludf.DUMMYFUNCTION("""COMPUTED_VALUE"""),0.7821196168706716)</f>
        <v>0.7821196169</v>
      </c>
    </row>
    <row r="504" ht="14.25" customHeight="1">
      <c r="A504" s="3" t="s">
        <v>24</v>
      </c>
      <c r="B504" s="6" t="s">
        <v>38</v>
      </c>
      <c r="C504" s="3" t="s">
        <v>40</v>
      </c>
      <c r="D504" s="3" t="s">
        <v>13</v>
      </c>
      <c r="E504" s="3" t="s">
        <v>29</v>
      </c>
      <c r="F504" s="3">
        <v>220.0</v>
      </c>
      <c r="G504" s="4" t="s">
        <v>18</v>
      </c>
      <c r="H504" s="3">
        <v>0.23700078469408403</v>
      </c>
      <c r="K504" s="9" t="str">
        <f>IFERROR(__xludf.DUMMYFUNCTION("""COMPUTED_VALUE"""),"TT Off Central")</f>
        <v>TT Off Central</v>
      </c>
      <c r="L504" s="9" t="str">
        <f>IFERROR(__xludf.DUMMYFUNCTION("""COMPUTED_VALUE"""),"Joyi")</f>
        <v>Joyi</v>
      </c>
      <c r="M504" s="9" t="str">
        <f>IFERROR(__xludf.DUMMYFUNCTION("""COMPUTED_VALUE"""),"Star")</f>
        <v>Star</v>
      </c>
      <c r="N504" s="9" t="str">
        <f>IFERROR(__xludf.DUMMYFUNCTION("""COMPUTED_VALUE"""),"Sweetened")</f>
        <v>Sweetened</v>
      </c>
      <c r="O504" s="9" t="str">
        <f>IFERROR(__xludf.DUMMYFUNCTION("""COMPUTED_VALUE"""),"TFA")</f>
        <v>TFA</v>
      </c>
      <c r="P504" s="9">
        <f>IFERROR(__xludf.DUMMYFUNCTION("""COMPUTED_VALUE"""),220.0)</f>
        <v>220</v>
      </c>
      <c r="Q504" s="9" t="str">
        <f>IFERROR(__xludf.DUMMYFUNCTION("""COMPUTED_VALUE"""),"Q4'22")</f>
        <v>Q4'22</v>
      </c>
      <c r="R504" s="9">
        <f>IFERROR(__xludf.DUMMYFUNCTION("""COMPUTED_VALUE"""),0.8602115430896945)</f>
        <v>0.8602115431</v>
      </c>
    </row>
    <row r="505" ht="14.25" customHeight="1">
      <c r="A505" s="3" t="s">
        <v>24</v>
      </c>
      <c r="B505" s="6" t="s">
        <v>38</v>
      </c>
      <c r="C505" s="3" t="s">
        <v>40</v>
      </c>
      <c r="D505" s="3" t="s">
        <v>13</v>
      </c>
      <c r="E505" s="3" t="s">
        <v>29</v>
      </c>
      <c r="F505" s="3">
        <v>220.0</v>
      </c>
      <c r="G505" s="4" t="s">
        <v>19</v>
      </c>
      <c r="H505" s="3">
        <v>0.21535871084922115</v>
      </c>
      <c r="K505" s="9" t="str">
        <f>IFERROR(__xludf.DUMMYFUNCTION("""COMPUTED_VALUE"""),"TT Off Central")</f>
        <v>TT Off Central</v>
      </c>
      <c r="L505" s="9" t="str">
        <f>IFERROR(__xludf.DUMMYFUNCTION("""COMPUTED_VALUE"""),"Joyi")</f>
        <v>Joyi</v>
      </c>
      <c r="M505" s="9" t="str">
        <f>IFERROR(__xludf.DUMMYFUNCTION("""COMPUTED_VALUE"""),"Star")</f>
        <v>Star</v>
      </c>
      <c r="N505" s="9" t="str">
        <f>IFERROR(__xludf.DUMMYFUNCTION("""COMPUTED_VALUE"""),"Sweetened")</f>
        <v>Sweetened</v>
      </c>
      <c r="O505" s="9" t="str">
        <f>IFERROR(__xludf.DUMMYFUNCTION("""COMPUTED_VALUE"""),"TFA")</f>
        <v>TFA</v>
      </c>
      <c r="P505" s="9">
        <f>IFERROR(__xludf.DUMMYFUNCTION("""COMPUTED_VALUE"""),220.0)</f>
        <v>220</v>
      </c>
      <c r="Q505" s="9" t="str">
        <f>IFERROR(__xludf.DUMMYFUNCTION("""COMPUTED_VALUE"""),"Q1'23")</f>
        <v>Q1'23</v>
      </c>
      <c r="R505" s="9">
        <f>IFERROR(__xludf.DUMMYFUNCTION("""COMPUTED_VALUE"""),0.9435860742996022)</f>
        <v>0.9435860743</v>
      </c>
    </row>
    <row r="506" ht="14.25" customHeight="1">
      <c r="A506" s="3" t="s">
        <v>24</v>
      </c>
      <c r="B506" s="6" t="s">
        <v>38</v>
      </c>
      <c r="C506" s="3" t="s">
        <v>40</v>
      </c>
      <c r="D506" s="3" t="s">
        <v>13</v>
      </c>
      <c r="E506" s="3" t="s">
        <v>29</v>
      </c>
      <c r="F506" s="3">
        <v>220.0</v>
      </c>
      <c r="G506" s="4" t="s">
        <v>20</v>
      </c>
      <c r="H506" s="3">
        <v>0.21103979502219467</v>
      </c>
      <c r="K506" s="9" t="str">
        <f>IFERROR(__xludf.DUMMYFUNCTION("""COMPUTED_VALUE"""),"TT Off Central")</f>
        <v>TT Off Central</v>
      </c>
      <c r="L506" s="9" t="str">
        <f>IFERROR(__xludf.DUMMYFUNCTION("""COMPUTED_VALUE"""),"Joyi")</f>
        <v>Joyi</v>
      </c>
      <c r="M506" s="9" t="str">
        <f>IFERROR(__xludf.DUMMYFUNCTION("""COMPUTED_VALUE"""),"Star")</f>
        <v>Star</v>
      </c>
      <c r="N506" s="9" t="str">
        <f>IFERROR(__xludf.DUMMYFUNCTION("""COMPUTED_VALUE"""),"Sweetened")</f>
        <v>Sweetened</v>
      </c>
      <c r="O506" s="9" t="str">
        <f>IFERROR(__xludf.DUMMYFUNCTION("""COMPUTED_VALUE"""),"TFA")</f>
        <v>TFA</v>
      </c>
      <c r="P506" s="9">
        <f>IFERROR(__xludf.DUMMYFUNCTION("""COMPUTED_VALUE"""),220.0)</f>
        <v>220</v>
      </c>
      <c r="Q506" s="9" t="str">
        <f>IFERROR(__xludf.DUMMYFUNCTION("""COMPUTED_VALUE"""),"Q2'23")</f>
        <v>Q2'23</v>
      </c>
      <c r="R506" s="9">
        <f>IFERROR(__xludf.DUMMYFUNCTION("""COMPUTED_VALUE"""),0.9557948615995095)</f>
        <v>0.9557948616</v>
      </c>
    </row>
    <row r="507" ht="14.25" customHeight="1">
      <c r="A507" s="3" t="s">
        <v>24</v>
      </c>
      <c r="B507" s="6" t="s">
        <v>38</v>
      </c>
      <c r="C507" s="3" t="s">
        <v>40</v>
      </c>
      <c r="D507" s="3" t="s">
        <v>13</v>
      </c>
      <c r="E507" s="3" t="s">
        <v>29</v>
      </c>
      <c r="F507" s="3">
        <v>220.0</v>
      </c>
      <c r="G507" s="4" t="s">
        <v>21</v>
      </c>
      <c r="H507" s="3">
        <v>0.3746097300737455</v>
      </c>
      <c r="K507" s="9" t="str">
        <f>IFERROR(__xludf.DUMMYFUNCTION("""COMPUTED_VALUE"""),"TT Off Central")</f>
        <v>TT Off Central</v>
      </c>
      <c r="L507" s="9" t="str">
        <f>IFERROR(__xludf.DUMMYFUNCTION("""COMPUTED_VALUE"""),"Joyi")</f>
        <v>Joyi</v>
      </c>
      <c r="M507" s="9" t="str">
        <f>IFERROR(__xludf.DUMMYFUNCTION("""COMPUTED_VALUE"""),"Star")</f>
        <v>Star</v>
      </c>
      <c r="N507" s="9" t="str">
        <f>IFERROR(__xludf.DUMMYFUNCTION("""COMPUTED_VALUE"""),"Sweetened")</f>
        <v>Sweetened</v>
      </c>
      <c r="O507" s="9" t="str">
        <f>IFERROR(__xludf.DUMMYFUNCTION("""COMPUTED_VALUE"""),"TFA")</f>
        <v>TFA</v>
      </c>
      <c r="P507" s="9">
        <f>IFERROR(__xludf.DUMMYFUNCTION("""COMPUTED_VALUE"""),220.0)</f>
        <v>220</v>
      </c>
      <c r="Q507" s="9" t="str">
        <f>IFERROR(__xludf.DUMMYFUNCTION("""COMPUTED_VALUE"""),"Q3'23")</f>
        <v>Q3'23</v>
      </c>
      <c r="R507" s="9">
        <f>IFERROR(__xludf.DUMMYFUNCTION("""COMPUTED_VALUE"""),1.0278622682978917)</f>
        <v>1.027862268</v>
      </c>
    </row>
    <row r="508" ht="14.25" customHeight="1">
      <c r="A508" s="3" t="s">
        <v>24</v>
      </c>
      <c r="B508" s="6" t="s">
        <v>38</v>
      </c>
      <c r="C508" s="3" t="s">
        <v>40</v>
      </c>
      <c r="D508" s="3" t="s">
        <v>13</v>
      </c>
      <c r="E508" s="3" t="s">
        <v>29</v>
      </c>
      <c r="F508" s="3">
        <v>220.0</v>
      </c>
      <c r="G508" s="4" t="s">
        <v>22</v>
      </c>
      <c r="H508" s="3">
        <v>0.21996505889928603</v>
      </c>
      <c r="K508" s="9" t="str">
        <f>IFERROR(__xludf.DUMMYFUNCTION("""COMPUTED_VALUE"""),"TT Off Central")</f>
        <v>TT Off Central</v>
      </c>
      <c r="L508" s="9" t="str">
        <f>IFERROR(__xludf.DUMMYFUNCTION("""COMPUTED_VALUE"""),"Joyi")</f>
        <v>Joyi</v>
      </c>
      <c r="M508" s="9" t="str">
        <f>IFERROR(__xludf.DUMMYFUNCTION("""COMPUTED_VALUE"""),"Star")</f>
        <v>Star</v>
      </c>
      <c r="N508" s="9" t="str">
        <f>IFERROR(__xludf.DUMMYFUNCTION("""COMPUTED_VALUE"""),"Sweetened")</f>
        <v>Sweetened</v>
      </c>
      <c r="O508" s="9" t="str">
        <f>IFERROR(__xludf.DUMMYFUNCTION("""COMPUTED_VALUE"""),"TFA")</f>
        <v>TFA</v>
      </c>
      <c r="P508" s="9">
        <f>IFERROR(__xludf.DUMMYFUNCTION("""COMPUTED_VALUE"""),220.0)</f>
        <v>220</v>
      </c>
      <c r="Q508" s="9" t="str">
        <f>IFERROR(__xludf.DUMMYFUNCTION("""COMPUTED_VALUE"""),"Q4'23")</f>
        <v>Q4'23</v>
      </c>
      <c r="R508" s="9">
        <f>IFERROR(__xludf.DUMMYFUNCTION("""COMPUTED_VALUE"""),0.6818361945048073)</f>
        <v>0.6818361945</v>
      </c>
    </row>
    <row r="509" ht="14.25" customHeight="1">
      <c r="A509" s="3" t="s">
        <v>24</v>
      </c>
      <c r="B509" s="3" t="s">
        <v>36</v>
      </c>
      <c r="C509" s="3" t="s">
        <v>36</v>
      </c>
      <c r="D509" s="3" t="s">
        <v>37</v>
      </c>
      <c r="E509" s="3" t="s">
        <v>14</v>
      </c>
      <c r="F509" s="3">
        <v>180.0</v>
      </c>
      <c r="G509" s="4" t="s">
        <v>15</v>
      </c>
      <c r="H509" s="3">
        <v>0.9106424567917076</v>
      </c>
      <c r="K509" s="9" t="str">
        <f>IFERROR(__xludf.DUMMYFUNCTION("""COMPUTED_VALUE"""),"TT Off Central")</f>
        <v>TT Off Central</v>
      </c>
      <c r="L509" s="9" t="str">
        <f>IFERROR(__xludf.DUMMYFUNCTION("""COMPUTED_VALUE"""),"Goldmilk")</f>
        <v>Goldmilk</v>
      </c>
      <c r="M509" s="9" t="str">
        <f>IFERROR(__xludf.DUMMYFUNCTION("""COMPUTED_VALUE"""),"Goldmilk")</f>
        <v>Goldmilk</v>
      </c>
      <c r="N509" s="9" t="str">
        <f>IFERROR(__xludf.DUMMYFUNCTION("""COMPUTED_VALUE"""),"Less Sugar")</f>
        <v>Less Sugar</v>
      </c>
      <c r="O509" s="9" t="str">
        <f>IFERROR(__xludf.DUMMYFUNCTION("""COMPUTED_VALUE"""),"Carton")</f>
        <v>Carton</v>
      </c>
      <c r="P509" s="9">
        <f>IFERROR(__xludf.DUMMYFUNCTION("""COMPUTED_VALUE"""),180.0)</f>
        <v>180</v>
      </c>
      <c r="Q509" s="9" t="str">
        <f>IFERROR(__xludf.DUMMYFUNCTION("""COMPUTED_VALUE"""),"Q1'22")</f>
        <v>Q1'22</v>
      </c>
      <c r="R509" s="9">
        <f>IFERROR(__xludf.DUMMYFUNCTION("""COMPUTED_VALUE"""),1.324271604922933)</f>
        <v>1.324271605</v>
      </c>
    </row>
    <row r="510" ht="14.25" customHeight="1">
      <c r="A510" s="3" t="s">
        <v>24</v>
      </c>
      <c r="B510" s="3" t="s">
        <v>36</v>
      </c>
      <c r="C510" s="3" t="s">
        <v>36</v>
      </c>
      <c r="D510" s="3" t="s">
        <v>37</v>
      </c>
      <c r="E510" s="3" t="s">
        <v>14</v>
      </c>
      <c r="F510" s="3">
        <v>180.0</v>
      </c>
      <c r="G510" s="4" t="s">
        <v>16</v>
      </c>
      <c r="H510" s="3">
        <v>1.0374445709372373</v>
      </c>
      <c r="K510" s="9" t="str">
        <f>IFERROR(__xludf.DUMMYFUNCTION("""COMPUTED_VALUE"""),"TT Off Central")</f>
        <v>TT Off Central</v>
      </c>
      <c r="L510" s="9" t="str">
        <f>IFERROR(__xludf.DUMMYFUNCTION("""COMPUTED_VALUE"""),"Goldmilk")</f>
        <v>Goldmilk</v>
      </c>
      <c r="M510" s="9" t="str">
        <f>IFERROR(__xludf.DUMMYFUNCTION("""COMPUTED_VALUE"""),"Goldmilk")</f>
        <v>Goldmilk</v>
      </c>
      <c r="N510" s="9" t="str">
        <f>IFERROR(__xludf.DUMMYFUNCTION("""COMPUTED_VALUE"""),"Less Sugar")</f>
        <v>Less Sugar</v>
      </c>
      <c r="O510" s="9" t="str">
        <f>IFERROR(__xludf.DUMMYFUNCTION("""COMPUTED_VALUE"""),"Carton")</f>
        <v>Carton</v>
      </c>
      <c r="P510" s="9">
        <f>IFERROR(__xludf.DUMMYFUNCTION("""COMPUTED_VALUE"""),180.0)</f>
        <v>180</v>
      </c>
      <c r="Q510" s="9" t="str">
        <f>IFERROR(__xludf.DUMMYFUNCTION("""COMPUTED_VALUE"""),"Q2'22")</f>
        <v>Q2'22</v>
      </c>
      <c r="R510" s="9">
        <f>IFERROR(__xludf.DUMMYFUNCTION("""COMPUTED_VALUE"""),1.2248012183101646)</f>
        <v>1.224801218</v>
      </c>
    </row>
    <row r="511" ht="14.25" customHeight="1">
      <c r="A511" s="3" t="s">
        <v>24</v>
      </c>
      <c r="B511" s="3" t="s">
        <v>36</v>
      </c>
      <c r="C511" s="3" t="s">
        <v>36</v>
      </c>
      <c r="D511" s="3" t="s">
        <v>37</v>
      </c>
      <c r="E511" s="3" t="s">
        <v>14</v>
      </c>
      <c r="F511" s="3">
        <v>180.0</v>
      </c>
      <c r="G511" s="4" t="s">
        <v>17</v>
      </c>
      <c r="H511" s="3">
        <v>0.838273099236926</v>
      </c>
      <c r="K511" s="9" t="str">
        <f>IFERROR(__xludf.DUMMYFUNCTION("""COMPUTED_VALUE"""),"TT Off Central")</f>
        <v>TT Off Central</v>
      </c>
      <c r="L511" s="9" t="str">
        <f>IFERROR(__xludf.DUMMYFUNCTION("""COMPUTED_VALUE"""),"Goldmilk")</f>
        <v>Goldmilk</v>
      </c>
      <c r="M511" s="9" t="str">
        <f>IFERROR(__xludf.DUMMYFUNCTION("""COMPUTED_VALUE"""),"Goldmilk")</f>
        <v>Goldmilk</v>
      </c>
      <c r="N511" s="9" t="str">
        <f>IFERROR(__xludf.DUMMYFUNCTION("""COMPUTED_VALUE"""),"Less Sugar")</f>
        <v>Less Sugar</v>
      </c>
      <c r="O511" s="9" t="str">
        <f>IFERROR(__xludf.DUMMYFUNCTION("""COMPUTED_VALUE"""),"Carton")</f>
        <v>Carton</v>
      </c>
      <c r="P511" s="9">
        <f>IFERROR(__xludf.DUMMYFUNCTION("""COMPUTED_VALUE"""),180.0)</f>
        <v>180</v>
      </c>
      <c r="Q511" s="9" t="str">
        <f>IFERROR(__xludf.DUMMYFUNCTION("""COMPUTED_VALUE"""),"Q3'22")</f>
        <v>Q3'22</v>
      </c>
      <c r="R511" s="9">
        <f>IFERROR(__xludf.DUMMYFUNCTION("""COMPUTED_VALUE"""),1.2413425775995155)</f>
        <v>1.241342578</v>
      </c>
    </row>
    <row r="512" ht="14.25" customHeight="1">
      <c r="A512" s="3" t="s">
        <v>24</v>
      </c>
      <c r="B512" s="3" t="s">
        <v>36</v>
      </c>
      <c r="C512" s="3" t="s">
        <v>36</v>
      </c>
      <c r="D512" s="3" t="s">
        <v>37</v>
      </c>
      <c r="E512" s="3" t="s">
        <v>14</v>
      </c>
      <c r="F512" s="3">
        <v>180.0</v>
      </c>
      <c r="G512" s="4" t="s">
        <v>18</v>
      </c>
      <c r="H512" s="3">
        <v>0.8945513608223727</v>
      </c>
      <c r="K512" s="9" t="str">
        <f>IFERROR(__xludf.DUMMYFUNCTION("""COMPUTED_VALUE"""),"TT Off Central")</f>
        <v>TT Off Central</v>
      </c>
      <c r="L512" s="9" t="str">
        <f>IFERROR(__xludf.DUMMYFUNCTION("""COMPUTED_VALUE"""),"Goldmilk")</f>
        <v>Goldmilk</v>
      </c>
      <c r="M512" s="9" t="str">
        <f>IFERROR(__xludf.DUMMYFUNCTION("""COMPUTED_VALUE"""),"Goldmilk")</f>
        <v>Goldmilk</v>
      </c>
      <c r="N512" s="9" t="str">
        <f>IFERROR(__xludf.DUMMYFUNCTION("""COMPUTED_VALUE"""),"Less Sugar")</f>
        <v>Less Sugar</v>
      </c>
      <c r="O512" s="9" t="str">
        <f>IFERROR(__xludf.DUMMYFUNCTION("""COMPUTED_VALUE"""),"Carton")</f>
        <v>Carton</v>
      </c>
      <c r="P512" s="9">
        <f>IFERROR(__xludf.DUMMYFUNCTION("""COMPUTED_VALUE"""),180.0)</f>
        <v>180</v>
      </c>
      <c r="Q512" s="9" t="str">
        <f>IFERROR(__xludf.DUMMYFUNCTION("""COMPUTED_VALUE"""),"Q4'22")</f>
        <v>Q4'22</v>
      </c>
      <c r="R512" s="9">
        <f>IFERROR(__xludf.DUMMYFUNCTION("""COMPUTED_VALUE"""),1.296044035459765)</f>
        <v>1.296044035</v>
      </c>
    </row>
    <row r="513" ht="14.25" customHeight="1">
      <c r="A513" s="3" t="s">
        <v>24</v>
      </c>
      <c r="B513" s="3" t="s">
        <v>36</v>
      </c>
      <c r="C513" s="3" t="s">
        <v>36</v>
      </c>
      <c r="D513" s="3" t="s">
        <v>37</v>
      </c>
      <c r="E513" s="3" t="s">
        <v>14</v>
      </c>
      <c r="F513" s="3">
        <v>180.0</v>
      </c>
      <c r="G513" s="4" t="s">
        <v>19</v>
      </c>
      <c r="H513" s="3">
        <v>0.9352889955503065</v>
      </c>
      <c r="K513" s="9" t="str">
        <f>IFERROR(__xludf.DUMMYFUNCTION("""COMPUTED_VALUE"""),"TT Off Central")</f>
        <v>TT Off Central</v>
      </c>
      <c r="L513" s="9" t="str">
        <f>IFERROR(__xludf.DUMMYFUNCTION("""COMPUTED_VALUE"""),"Goldmilk")</f>
        <v>Goldmilk</v>
      </c>
      <c r="M513" s="9" t="str">
        <f>IFERROR(__xludf.DUMMYFUNCTION("""COMPUTED_VALUE"""),"Goldmilk")</f>
        <v>Goldmilk</v>
      </c>
      <c r="N513" s="9" t="str">
        <f>IFERROR(__xludf.DUMMYFUNCTION("""COMPUTED_VALUE"""),"Less Sugar")</f>
        <v>Less Sugar</v>
      </c>
      <c r="O513" s="9" t="str">
        <f>IFERROR(__xludf.DUMMYFUNCTION("""COMPUTED_VALUE"""),"Carton")</f>
        <v>Carton</v>
      </c>
      <c r="P513" s="9">
        <f>IFERROR(__xludf.DUMMYFUNCTION("""COMPUTED_VALUE"""),180.0)</f>
        <v>180</v>
      </c>
      <c r="Q513" s="9" t="str">
        <f>IFERROR(__xludf.DUMMYFUNCTION("""COMPUTED_VALUE"""),"Q1'23")</f>
        <v>Q1'23</v>
      </c>
      <c r="R513" s="9">
        <f>IFERROR(__xludf.DUMMYFUNCTION("""COMPUTED_VALUE"""),1.485481143186157)</f>
        <v>1.485481143</v>
      </c>
    </row>
    <row r="514" ht="14.25" customHeight="1">
      <c r="A514" s="3" t="s">
        <v>24</v>
      </c>
      <c r="B514" s="3" t="s">
        <v>36</v>
      </c>
      <c r="C514" s="3" t="s">
        <v>36</v>
      </c>
      <c r="D514" s="3" t="s">
        <v>37</v>
      </c>
      <c r="E514" s="3" t="s">
        <v>14</v>
      </c>
      <c r="F514" s="3">
        <v>180.0</v>
      </c>
      <c r="G514" s="4" t="s">
        <v>20</v>
      </c>
      <c r="H514" s="3">
        <v>0.9937687419789611</v>
      </c>
      <c r="K514" s="9" t="str">
        <f>IFERROR(__xludf.DUMMYFUNCTION("""COMPUTED_VALUE"""),"TT Off Central")</f>
        <v>TT Off Central</v>
      </c>
      <c r="L514" s="9" t="str">
        <f>IFERROR(__xludf.DUMMYFUNCTION("""COMPUTED_VALUE"""),"Goldmilk")</f>
        <v>Goldmilk</v>
      </c>
      <c r="M514" s="9" t="str">
        <f>IFERROR(__xludf.DUMMYFUNCTION("""COMPUTED_VALUE"""),"Goldmilk")</f>
        <v>Goldmilk</v>
      </c>
      <c r="N514" s="9" t="str">
        <f>IFERROR(__xludf.DUMMYFUNCTION("""COMPUTED_VALUE"""),"Less Sugar")</f>
        <v>Less Sugar</v>
      </c>
      <c r="O514" s="9" t="str">
        <f>IFERROR(__xludf.DUMMYFUNCTION("""COMPUTED_VALUE"""),"Carton")</f>
        <v>Carton</v>
      </c>
      <c r="P514" s="9">
        <f>IFERROR(__xludf.DUMMYFUNCTION("""COMPUTED_VALUE"""),180.0)</f>
        <v>180</v>
      </c>
      <c r="Q514" s="9" t="str">
        <f>IFERROR(__xludf.DUMMYFUNCTION("""COMPUTED_VALUE"""),"Q2'23")</f>
        <v>Q2'23</v>
      </c>
      <c r="R514" s="9">
        <f>IFERROR(__xludf.DUMMYFUNCTION("""COMPUTED_VALUE"""),1.2248483537139299)</f>
        <v>1.224848354</v>
      </c>
    </row>
    <row r="515" ht="14.25" customHeight="1">
      <c r="A515" s="3" t="s">
        <v>24</v>
      </c>
      <c r="B515" s="3" t="s">
        <v>36</v>
      </c>
      <c r="C515" s="3" t="s">
        <v>36</v>
      </c>
      <c r="D515" s="3" t="s">
        <v>37</v>
      </c>
      <c r="E515" s="3" t="s">
        <v>14</v>
      </c>
      <c r="F515" s="3">
        <v>180.0</v>
      </c>
      <c r="G515" s="4" t="s">
        <v>21</v>
      </c>
      <c r="H515" s="3">
        <v>0.8131218735521127</v>
      </c>
      <c r="K515" s="9" t="str">
        <f>IFERROR(__xludf.DUMMYFUNCTION("""COMPUTED_VALUE"""),"TT Off Central")</f>
        <v>TT Off Central</v>
      </c>
      <c r="L515" s="9" t="str">
        <f>IFERROR(__xludf.DUMMYFUNCTION("""COMPUTED_VALUE"""),"Goldmilk")</f>
        <v>Goldmilk</v>
      </c>
      <c r="M515" s="9" t="str">
        <f>IFERROR(__xludf.DUMMYFUNCTION("""COMPUTED_VALUE"""),"Goldmilk")</f>
        <v>Goldmilk</v>
      </c>
      <c r="N515" s="9" t="str">
        <f>IFERROR(__xludf.DUMMYFUNCTION("""COMPUTED_VALUE"""),"Less Sugar")</f>
        <v>Less Sugar</v>
      </c>
      <c r="O515" s="9" t="str">
        <f>IFERROR(__xludf.DUMMYFUNCTION("""COMPUTED_VALUE"""),"Carton")</f>
        <v>Carton</v>
      </c>
      <c r="P515" s="9">
        <f>IFERROR(__xludf.DUMMYFUNCTION("""COMPUTED_VALUE"""),180.0)</f>
        <v>180</v>
      </c>
      <c r="Q515" s="9" t="str">
        <f>IFERROR(__xludf.DUMMYFUNCTION("""COMPUTED_VALUE"""),"Q3'23")</f>
        <v>Q3'23</v>
      </c>
      <c r="R515" s="9">
        <f>IFERROR(__xludf.DUMMYFUNCTION("""COMPUTED_VALUE"""),1.0691770093635098)</f>
        <v>1.069177009</v>
      </c>
    </row>
    <row r="516" ht="14.25" customHeight="1">
      <c r="A516" s="3" t="s">
        <v>24</v>
      </c>
      <c r="B516" s="3" t="s">
        <v>36</v>
      </c>
      <c r="C516" s="3" t="s">
        <v>36</v>
      </c>
      <c r="D516" s="3" t="s">
        <v>37</v>
      </c>
      <c r="E516" s="3" t="s">
        <v>14</v>
      </c>
      <c r="F516" s="3">
        <v>180.0</v>
      </c>
      <c r="G516" s="4" t="s">
        <v>22</v>
      </c>
      <c r="H516" s="3">
        <v>0.9776090083786458</v>
      </c>
      <c r="K516" s="9" t="str">
        <f>IFERROR(__xludf.DUMMYFUNCTION("""COMPUTED_VALUE"""),"TT Off Central")</f>
        <v>TT Off Central</v>
      </c>
      <c r="L516" s="9" t="str">
        <f>IFERROR(__xludf.DUMMYFUNCTION("""COMPUTED_VALUE"""),"Goldmilk")</f>
        <v>Goldmilk</v>
      </c>
      <c r="M516" s="9" t="str">
        <f>IFERROR(__xludf.DUMMYFUNCTION("""COMPUTED_VALUE"""),"Goldmilk")</f>
        <v>Goldmilk</v>
      </c>
      <c r="N516" s="9" t="str">
        <f>IFERROR(__xludf.DUMMYFUNCTION("""COMPUTED_VALUE"""),"Less Sugar")</f>
        <v>Less Sugar</v>
      </c>
      <c r="O516" s="9" t="str">
        <f>IFERROR(__xludf.DUMMYFUNCTION("""COMPUTED_VALUE"""),"Carton")</f>
        <v>Carton</v>
      </c>
      <c r="P516" s="9">
        <f>IFERROR(__xludf.DUMMYFUNCTION("""COMPUTED_VALUE"""),180.0)</f>
        <v>180</v>
      </c>
      <c r="Q516" s="9" t="str">
        <f>IFERROR(__xludf.DUMMYFUNCTION("""COMPUTED_VALUE"""),"Q4'23")</f>
        <v>Q4'23</v>
      </c>
      <c r="R516" s="9">
        <f>IFERROR(__xludf.DUMMYFUNCTION("""COMPUTED_VALUE"""),1.3248510510810694)</f>
        <v>1.324851051</v>
      </c>
    </row>
    <row r="517" ht="14.25" customHeight="1">
      <c r="A517" s="3" t="s">
        <v>24</v>
      </c>
      <c r="B517" s="3" t="s">
        <v>36</v>
      </c>
      <c r="C517" s="3" t="s">
        <v>36</v>
      </c>
      <c r="D517" s="3" t="s">
        <v>13</v>
      </c>
      <c r="E517" s="3" t="s">
        <v>14</v>
      </c>
      <c r="F517" s="3">
        <v>110.0</v>
      </c>
      <c r="G517" s="4" t="s">
        <v>15</v>
      </c>
      <c r="H517" s="3">
        <v>4.903451965999108</v>
      </c>
      <c r="K517" s="9" t="str">
        <f>IFERROR(__xludf.DUMMYFUNCTION("""COMPUTED_VALUE"""),"TT Off Central")</f>
        <v>TT Off Central</v>
      </c>
      <c r="L517" s="9" t="str">
        <f>IFERROR(__xludf.DUMMYFUNCTION("""COMPUTED_VALUE"""),"Goldmilk")</f>
        <v>Goldmilk</v>
      </c>
      <c r="M517" s="9" t="str">
        <f>IFERROR(__xludf.DUMMYFUNCTION("""COMPUTED_VALUE"""),"Goldmilk")</f>
        <v>Goldmilk</v>
      </c>
      <c r="N517" s="9" t="str">
        <f>IFERROR(__xludf.DUMMYFUNCTION("""COMPUTED_VALUE"""),"Sweetened")</f>
        <v>Sweetened</v>
      </c>
      <c r="O517" s="9" t="str">
        <f>IFERROR(__xludf.DUMMYFUNCTION("""COMPUTED_VALUE"""),"Carton")</f>
        <v>Carton</v>
      </c>
      <c r="P517" s="9">
        <f>IFERROR(__xludf.DUMMYFUNCTION("""COMPUTED_VALUE"""),110.0)</f>
        <v>110</v>
      </c>
      <c r="Q517" s="9" t="str">
        <f>IFERROR(__xludf.DUMMYFUNCTION("""COMPUTED_VALUE"""),"Q1'22")</f>
        <v>Q1'22</v>
      </c>
      <c r="R517" s="9">
        <f>IFERROR(__xludf.DUMMYFUNCTION("""COMPUTED_VALUE"""),4.89545462790811)</f>
        <v>4.895454628</v>
      </c>
    </row>
    <row r="518" ht="14.25" customHeight="1">
      <c r="A518" s="3" t="s">
        <v>24</v>
      </c>
      <c r="B518" s="3" t="s">
        <v>36</v>
      </c>
      <c r="C518" s="3" t="s">
        <v>36</v>
      </c>
      <c r="D518" s="3" t="s">
        <v>13</v>
      </c>
      <c r="E518" s="3" t="s">
        <v>14</v>
      </c>
      <c r="F518" s="3">
        <v>110.0</v>
      </c>
      <c r="G518" s="4" t="s">
        <v>16</v>
      </c>
      <c r="H518" s="3">
        <v>3.8927322560601114</v>
      </c>
      <c r="K518" s="9" t="str">
        <f>IFERROR(__xludf.DUMMYFUNCTION("""COMPUTED_VALUE"""),"TT Off Central")</f>
        <v>TT Off Central</v>
      </c>
      <c r="L518" s="9" t="str">
        <f>IFERROR(__xludf.DUMMYFUNCTION("""COMPUTED_VALUE"""),"Goldmilk")</f>
        <v>Goldmilk</v>
      </c>
      <c r="M518" s="9" t="str">
        <f>IFERROR(__xludf.DUMMYFUNCTION("""COMPUTED_VALUE"""),"Goldmilk")</f>
        <v>Goldmilk</v>
      </c>
      <c r="N518" s="9" t="str">
        <f>IFERROR(__xludf.DUMMYFUNCTION("""COMPUTED_VALUE"""),"Sweetened")</f>
        <v>Sweetened</v>
      </c>
      <c r="O518" s="9" t="str">
        <f>IFERROR(__xludf.DUMMYFUNCTION("""COMPUTED_VALUE"""),"Carton")</f>
        <v>Carton</v>
      </c>
      <c r="P518" s="9">
        <f>IFERROR(__xludf.DUMMYFUNCTION("""COMPUTED_VALUE"""),110.0)</f>
        <v>110</v>
      </c>
      <c r="Q518" s="9" t="str">
        <f>IFERROR(__xludf.DUMMYFUNCTION("""COMPUTED_VALUE"""),"Q2'22")</f>
        <v>Q2'22</v>
      </c>
      <c r="R518" s="9">
        <f>IFERROR(__xludf.DUMMYFUNCTION("""COMPUTED_VALUE"""),4.126503899135488)</f>
        <v>4.126503899</v>
      </c>
    </row>
    <row r="519" ht="14.25" customHeight="1">
      <c r="A519" s="3" t="s">
        <v>24</v>
      </c>
      <c r="B519" s="3" t="s">
        <v>36</v>
      </c>
      <c r="C519" s="3" t="s">
        <v>36</v>
      </c>
      <c r="D519" s="3" t="s">
        <v>13</v>
      </c>
      <c r="E519" s="3" t="s">
        <v>14</v>
      </c>
      <c r="F519" s="3">
        <v>110.0</v>
      </c>
      <c r="G519" s="4" t="s">
        <v>17</v>
      </c>
      <c r="H519" s="3">
        <v>3.318459396770256</v>
      </c>
      <c r="K519" s="9" t="str">
        <f>IFERROR(__xludf.DUMMYFUNCTION("""COMPUTED_VALUE"""),"TT Off Central")</f>
        <v>TT Off Central</v>
      </c>
      <c r="L519" s="9" t="str">
        <f>IFERROR(__xludf.DUMMYFUNCTION("""COMPUTED_VALUE"""),"Goldmilk")</f>
        <v>Goldmilk</v>
      </c>
      <c r="M519" s="9" t="str">
        <f>IFERROR(__xludf.DUMMYFUNCTION("""COMPUTED_VALUE"""),"Goldmilk")</f>
        <v>Goldmilk</v>
      </c>
      <c r="N519" s="9" t="str">
        <f>IFERROR(__xludf.DUMMYFUNCTION("""COMPUTED_VALUE"""),"Sweetened")</f>
        <v>Sweetened</v>
      </c>
      <c r="O519" s="9" t="str">
        <f>IFERROR(__xludf.DUMMYFUNCTION("""COMPUTED_VALUE"""),"Carton")</f>
        <v>Carton</v>
      </c>
      <c r="P519" s="9">
        <f>IFERROR(__xludf.DUMMYFUNCTION("""COMPUTED_VALUE"""),110.0)</f>
        <v>110</v>
      </c>
      <c r="Q519" s="9" t="str">
        <f>IFERROR(__xludf.DUMMYFUNCTION("""COMPUTED_VALUE"""),"Q3'22")</f>
        <v>Q3'22</v>
      </c>
      <c r="R519" s="9">
        <f>IFERROR(__xludf.DUMMYFUNCTION("""COMPUTED_VALUE"""),4.3395343167538005)</f>
        <v>4.339534317</v>
      </c>
    </row>
    <row r="520" ht="14.25" customHeight="1">
      <c r="A520" s="3" t="s">
        <v>24</v>
      </c>
      <c r="B520" s="3" t="s">
        <v>36</v>
      </c>
      <c r="C520" s="3" t="s">
        <v>36</v>
      </c>
      <c r="D520" s="3" t="s">
        <v>13</v>
      </c>
      <c r="E520" s="3" t="s">
        <v>14</v>
      </c>
      <c r="F520" s="3">
        <v>110.0</v>
      </c>
      <c r="G520" s="4" t="s">
        <v>18</v>
      </c>
      <c r="H520" s="3">
        <v>3.3353883203659778</v>
      </c>
      <c r="K520" s="9" t="str">
        <f>IFERROR(__xludf.DUMMYFUNCTION("""COMPUTED_VALUE"""),"TT Off Central")</f>
        <v>TT Off Central</v>
      </c>
      <c r="L520" s="9" t="str">
        <f>IFERROR(__xludf.DUMMYFUNCTION("""COMPUTED_VALUE"""),"Goldmilk")</f>
        <v>Goldmilk</v>
      </c>
      <c r="M520" s="9" t="str">
        <f>IFERROR(__xludf.DUMMYFUNCTION("""COMPUTED_VALUE"""),"Goldmilk")</f>
        <v>Goldmilk</v>
      </c>
      <c r="N520" s="9" t="str">
        <f>IFERROR(__xludf.DUMMYFUNCTION("""COMPUTED_VALUE"""),"Sweetened")</f>
        <v>Sweetened</v>
      </c>
      <c r="O520" s="9" t="str">
        <f>IFERROR(__xludf.DUMMYFUNCTION("""COMPUTED_VALUE"""),"Carton")</f>
        <v>Carton</v>
      </c>
      <c r="P520" s="9">
        <f>IFERROR(__xludf.DUMMYFUNCTION("""COMPUTED_VALUE"""),110.0)</f>
        <v>110</v>
      </c>
      <c r="Q520" s="9" t="str">
        <f>IFERROR(__xludf.DUMMYFUNCTION("""COMPUTED_VALUE"""),"Q4'22")</f>
        <v>Q4'22</v>
      </c>
      <c r="R520" s="9">
        <f>IFERROR(__xludf.DUMMYFUNCTION("""COMPUTED_VALUE"""),3.501835628185567)</f>
        <v>3.501835628</v>
      </c>
    </row>
    <row r="521" ht="14.25" customHeight="1">
      <c r="A521" s="3" t="s">
        <v>24</v>
      </c>
      <c r="B521" s="3" t="s">
        <v>36</v>
      </c>
      <c r="C521" s="3" t="s">
        <v>36</v>
      </c>
      <c r="D521" s="3" t="s">
        <v>13</v>
      </c>
      <c r="E521" s="3" t="s">
        <v>14</v>
      </c>
      <c r="F521" s="3">
        <v>110.0</v>
      </c>
      <c r="G521" s="4" t="s">
        <v>19</v>
      </c>
      <c r="H521" s="3">
        <v>3.7934079906857447</v>
      </c>
      <c r="K521" s="9" t="str">
        <f>IFERROR(__xludf.DUMMYFUNCTION("""COMPUTED_VALUE"""),"TT Off Central")</f>
        <v>TT Off Central</v>
      </c>
      <c r="L521" s="9" t="str">
        <f>IFERROR(__xludf.DUMMYFUNCTION("""COMPUTED_VALUE"""),"Goldmilk")</f>
        <v>Goldmilk</v>
      </c>
      <c r="M521" s="9" t="str">
        <f>IFERROR(__xludf.DUMMYFUNCTION("""COMPUTED_VALUE"""),"Goldmilk")</f>
        <v>Goldmilk</v>
      </c>
      <c r="N521" s="9" t="str">
        <f>IFERROR(__xludf.DUMMYFUNCTION("""COMPUTED_VALUE"""),"Sweetened")</f>
        <v>Sweetened</v>
      </c>
      <c r="O521" s="9" t="str">
        <f>IFERROR(__xludf.DUMMYFUNCTION("""COMPUTED_VALUE"""),"Carton")</f>
        <v>Carton</v>
      </c>
      <c r="P521" s="9">
        <f>IFERROR(__xludf.DUMMYFUNCTION("""COMPUTED_VALUE"""),110.0)</f>
        <v>110</v>
      </c>
      <c r="Q521" s="9" t="str">
        <f>IFERROR(__xludf.DUMMYFUNCTION("""COMPUTED_VALUE"""),"Q1'23")</f>
        <v>Q1'23</v>
      </c>
      <c r="R521" s="9">
        <f>IFERROR(__xludf.DUMMYFUNCTION("""COMPUTED_VALUE"""),4.1611700387696064)</f>
        <v>4.161170039</v>
      </c>
    </row>
    <row r="522" ht="14.25" customHeight="1">
      <c r="A522" s="3" t="s">
        <v>24</v>
      </c>
      <c r="B522" s="3" t="s">
        <v>36</v>
      </c>
      <c r="C522" s="3" t="s">
        <v>36</v>
      </c>
      <c r="D522" s="3" t="s">
        <v>13</v>
      </c>
      <c r="E522" s="3" t="s">
        <v>14</v>
      </c>
      <c r="F522" s="3">
        <v>110.0</v>
      </c>
      <c r="G522" s="4" t="s">
        <v>20</v>
      </c>
      <c r="H522" s="3">
        <v>3.6522938643811904</v>
      </c>
      <c r="K522" s="9" t="str">
        <f>IFERROR(__xludf.DUMMYFUNCTION("""COMPUTED_VALUE"""),"TT Off Central")</f>
        <v>TT Off Central</v>
      </c>
      <c r="L522" s="9" t="str">
        <f>IFERROR(__xludf.DUMMYFUNCTION("""COMPUTED_VALUE"""),"Goldmilk")</f>
        <v>Goldmilk</v>
      </c>
      <c r="M522" s="9" t="str">
        <f>IFERROR(__xludf.DUMMYFUNCTION("""COMPUTED_VALUE"""),"Goldmilk")</f>
        <v>Goldmilk</v>
      </c>
      <c r="N522" s="9" t="str">
        <f>IFERROR(__xludf.DUMMYFUNCTION("""COMPUTED_VALUE"""),"Sweetened")</f>
        <v>Sweetened</v>
      </c>
      <c r="O522" s="9" t="str">
        <f>IFERROR(__xludf.DUMMYFUNCTION("""COMPUTED_VALUE"""),"Carton")</f>
        <v>Carton</v>
      </c>
      <c r="P522" s="9">
        <f>IFERROR(__xludf.DUMMYFUNCTION("""COMPUTED_VALUE"""),110.0)</f>
        <v>110</v>
      </c>
      <c r="Q522" s="9" t="str">
        <f>IFERROR(__xludf.DUMMYFUNCTION("""COMPUTED_VALUE"""),"Q2'23")</f>
        <v>Q2'23</v>
      </c>
      <c r="R522" s="9">
        <f>IFERROR(__xludf.DUMMYFUNCTION("""COMPUTED_VALUE"""),3.899469040835347)</f>
        <v>3.899469041</v>
      </c>
    </row>
    <row r="523" ht="14.25" customHeight="1">
      <c r="A523" s="3" t="s">
        <v>24</v>
      </c>
      <c r="B523" s="3" t="s">
        <v>36</v>
      </c>
      <c r="C523" s="3" t="s">
        <v>36</v>
      </c>
      <c r="D523" s="3" t="s">
        <v>13</v>
      </c>
      <c r="E523" s="3" t="s">
        <v>14</v>
      </c>
      <c r="F523" s="3">
        <v>110.0</v>
      </c>
      <c r="G523" s="4" t="s">
        <v>21</v>
      </c>
      <c r="H523" s="3">
        <v>3.6730437891083754</v>
      </c>
      <c r="K523" s="9" t="str">
        <f>IFERROR(__xludf.DUMMYFUNCTION("""COMPUTED_VALUE"""),"TT Off Central")</f>
        <v>TT Off Central</v>
      </c>
      <c r="L523" s="9" t="str">
        <f>IFERROR(__xludf.DUMMYFUNCTION("""COMPUTED_VALUE"""),"Goldmilk")</f>
        <v>Goldmilk</v>
      </c>
      <c r="M523" s="9" t="str">
        <f>IFERROR(__xludf.DUMMYFUNCTION("""COMPUTED_VALUE"""),"Goldmilk")</f>
        <v>Goldmilk</v>
      </c>
      <c r="N523" s="9" t="str">
        <f>IFERROR(__xludf.DUMMYFUNCTION("""COMPUTED_VALUE"""),"Sweetened")</f>
        <v>Sweetened</v>
      </c>
      <c r="O523" s="9" t="str">
        <f>IFERROR(__xludf.DUMMYFUNCTION("""COMPUTED_VALUE"""),"Carton")</f>
        <v>Carton</v>
      </c>
      <c r="P523" s="9">
        <f>IFERROR(__xludf.DUMMYFUNCTION("""COMPUTED_VALUE"""),110.0)</f>
        <v>110</v>
      </c>
      <c r="Q523" s="9" t="str">
        <f>IFERROR(__xludf.DUMMYFUNCTION("""COMPUTED_VALUE"""),"Q3'23")</f>
        <v>Q3'23</v>
      </c>
      <c r="R523" s="9">
        <f>IFERROR(__xludf.DUMMYFUNCTION("""COMPUTED_VALUE"""),3.6015091019527676)</f>
        <v>3.601509102</v>
      </c>
    </row>
    <row r="524" ht="14.25" customHeight="1">
      <c r="A524" s="3" t="s">
        <v>24</v>
      </c>
      <c r="B524" s="3" t="s">
        <v>36</v>
      </c>
      <c r="C524" s="3" t="s">
        <v>36</v>
      </c>
      <c r="D524" s="3" t="s">
        <v>13</v>
      </c>
      <c r="E524" s="3" t="s">
        <v>14</v>
      </c>
      <c r="F524" s="3">
        <v>110.0</v>
      </c>
      <c r="G524" s="4" t="s">
        <v>22</v>
      </c>
      <c r="H524" s="3">
        <v>3.843896520234756</v>
      </c>
      <c r="K524" s="9" t="str">
        <f>IFERROR(__xludf.DUMMYFUNCTION("""COMPUTED_VALUE"""),"TT Off Central")</f>
        <v>TT Off Central</v>
      </c>
      <c r="L524" s="9" t="str">
        <f>IFERROR(__xludf.DUMMYFUNCTION("""COMPUTED_VALUE"""),"Goldmilk")</f>
        <v>Goldmilk</v>
      </c>
      <c r="M524" s="9" t="str">
        <f>IFERROR(__xludf.DUMMYFUNCTION("""COMPUTED_VALUE"""),"Goldmilk")</f>
        <v>Goldmilk</v>
      </c>
      <c r="N524" s="9" t="str">
        <f>IFERROR(__xludf.DUMMYFUNCTION("""COMPUTED_VALUE"""),"Sweetened")</f>
        <v>Sweetened</v>
      </c>
      <c r="O524" s="9" t="str">
        <f>IFERROR(__xludf.DUMMYFUNCTION("""COMPUTED_VALUE"""),"Carton")</f>
        <v>Carton</v>
      </c>
      <c r="P524" s="9">
        <f>IFERROR(__xludf.DUMMYFUNCTION("""COMPUTED_VALUE"""),110.0)</f>
        <v>110</v>
      </c>
      <c r="Q524" s="9" t="str">
        <f>IFERROR(__xludf.DUMMYFUNCTION("""COMPUTED_VALUE"""),"Q4'23")</f>
        <v>Q4'23</v>
      </c>
      <c r="R524" s="9">
        <f>IFERROR(__xludf.DUMMYFUNCTION("""COMPUTED_VALUE"""),3.3562647408856514)</f>
        <v>3.356264741</v>
      </c>
    </row>
    <row r="525" ht="14.25" customHeight="1">
      <c r="A525" s="3" t="s">
        <v>24</v>
      </c>
      <c r="B525" s="3" t="s">
        <v>36</v>
      </c>
      <c r="C525" s="3" t="s">
        <v>36</v>
      </c>
      <c r="D525" s="3" t="s">
        <v>13</v>
      </c>
      <c r="E525" s="3" t="s">
        <v>14</v>
      </c>
      <c r="F525" s="3">
        <v>180.0</v>
      </c>
      <c r="G525" s="4" t="s">
        <v>15</v>
      </c>
      <c r="H525" s="3">
        <v>8.424399372028018</v>
      </c>
      <c r="K525" s="9" t="str">
        <f>IFERROR(__xludf.DUMMYFUNCTION("""COMPUTED_VALUE"""),"TT Off Central")</f>
        <v>TT Off Central</v>
      </c>
      <c r="L525" s="9" t="str">
        <f>IFERROR(__xludf.DUMMYFUNCTION("""COMPUTED_VALUE"""),"Goldmilk")</f>
        <v>Goldmilk</v>
      </c>
      <c r="M525" s="9" t="str">
        <f>IFERROR(__xludf.DUMMYFUNCTION("""COMPUTED_VALUE"""),"Goldmilk")</f>
        <v>Goldmilk</v>
      </c>
      <c r="N525" s="9" t="str">
        <f>IFERROR(__xludf.DUMMYFUNCTION("""COMPUTED_VALUE"""),"Sweetened")</f>
        <v>Sweetened</v>
      </c>
      <c r="O525" s="9" t="str">
        <f>IFERROR(__xludf.DUMMYFUNCTION("""COMPUTED_VALUE"""),"Carton")</f>
        <v>Carton</v>
      </c>
      <c r="P525" s="9">
        <f>IFERROR(__xludf.DUMMYFUNCTION("""COMPUTED_VALUE"""),180.0)</f>
        <v>180</v>
      </c>
      <c r="Q525" s="9" t="str">
        <f>IFERROR(__xludf.DUMMYFUNCTION("""COMPUTED_VALUE"""),"Q1'22")</f>
        <v>Q1'22</v>
      </c>
      <c r="R525" s="9">
        <f>IFERROR(__xludf.DUMMYFUNCTION("""COMPUTED_VALUE"""),6.817513411516835)</f>
        <v>6.817513412</v>
      </c>
    </row>
    <row r="526" ht="14.25" customHeight="1">
      <c r="A526" s="3" t="s">
        <v>24</v>
      </c>
      <c r="B526" s="3" t="s">
        <v>36</v>
      </c>
      <c r="C526" s="3" t="s">
        <v>36</v>
      </c>
      <c r="D526" s="3" t="s">
        <v>13</v>
      </c>
      <c r="E526" s="3" t="s">
        <v>14</v>
      </c>
      <c r="F526" s="3">
        <v>180.0</v>
      </c>
      <c r="G526" s="4" t="s">
        <v>16</v>
      </c>
      <c r="H526" s="3">
        <v>7.163900259683823</v>
      </c>
      <c r="K526" s="9" t="str">
        <f>IFERROR(__xludf.DUMMYFUNCTION("""COMPUTED_VALUE"""),"TT Off Central")</f>
        <v>TT Off Central</v>
      </c>
      <c r="L526" s="9" t="str">
        <f>IFERROR(__xludf.DUMMYFUNCTION("""COMPUTED_VALUE"""),"Goldmilk")</f>
        <v>Goldmilk</v>
      </c>
      <c r="M526" s="9" t="str">
        <f>IFERROR(__xludf.DUMMYFUNCTION("""COMPUTED_VALUE"""),"Goldmilk")</f>
        <v>Goldmilk</v>
      </c>
      <c r="N526" s="9" t="str">
        <f>IFERROR(__xludf.DUMMYFUNCTION("""COMPUTED_VALUE"""),"Sweetened")</f>
        <v>Sweetened</v>
      </c>
      <c r="O526" s="9" t="str">
        <f>IFERROR(__xludf.DUMMYFUNCTION("""COMPUTED_VALUE"""),"Carton")</f>
        <v>Carton</v>
      </c>
      <c r="P526" s="9">
        <f>IFERROR(__xludf.DUMMYFUNCTION("""COMPUTED_VALUE"""),180.0)</f>
        <v>180</v>
      </c>
      <c r="Q526" s="9" t="str">
        <f>IFERROR(__xludf.DUMMYFUNCTION("""COMPUTED_VALUE"""),"Q2'22")</f>
        <v>Q2'22</v>
      </c>
      <c r="R526" s="9">
        <f>IFERROR(__xludf.DUMMYFUNCTION("""COMPUTED_VALUE"""),5.987385084162704)</f>
        <v>5.987385084</v>
      </c>
    </row>
    <row r="527" ht="14.25" customHeight="1">
      <c r="A527" s="3" t="s">
        <v>24</v>
      </c>
      <c r="B527" s="3" t="s">
        <v>36</v>
      </c>
      <c r="C527" s="3" t="s">
        <v>36</v>
      </c>
      <c r="D527" s="3" t="s">
        <v>13</v>
      </c>
      <c r="E527" s="3" t="s">
        <v>14</v>
      </c>
      <c r="F527" s="3">
        <v>180.0</v>
      </c>
      <c r="G527" s="4" t="s">
        <v>17</v>
      </c>
      <c r="H527" s="3">
        <v>5.848391776089243</v>
      </c>
      <c r="K527" s="9" t="str">
        <f>IFERROR(__xludf.DUMMYFUNCTION("""COMPUTED_VALUE"""),"TT Off Central")</f>
        <v>TT Off Central</v>
      </c>
      <c r="L527" s="9" t="str">
        <f>IFERROR(__xludf.DUMMYFUNCTION("""COMPUTED_VALUE"""),"Goldmilk")</f>
        <v>Goldmilk</v>
      </c>
      <c r="M527" s="9" t="str">
        <f>IFERROR(__xludf.DUMMYFUNCTION("""COMPUTED_VALUE"""),"Goldmilk")</f>
        <v>Goldmilk</v>
      </c>
      <c r="N527" s="9" t="str">
        <f>IFERROR(__xludf.DUMMYFUNCTION("""COMPUTED_VALUE"""),"Sweetened")</f>
        <v>Sweetened</v>
      </c>
      <c r="O527" s="9" t="str">
        <f>IFERROR(__xludf.DUMMYFUNCTION("""COMPUTED_VALUE"""),"Carton")</f>
        <v>Carton</v>
      </c>
      <c r="P527" s="9">
        <f>IFERROR(__xludf.DUMMYFUNCTION("""COMPUTED_VALUE"""),180.0)</f>
        <v>180</v>
      </c>
      <c r="Q527" s="9" t="str">
        <f>IFERROR(__xludf.DUMMYFUNCTION("""COMPUTED_VALUE"""),"Q3'22")</f>
        <v>Q3'22</v>
      </c>
      <c r="R527" s="9">
        <f>IFERROR(__xludf.DUMMYFUNCTION("""COMPUTED_VALUE"""),5.146824306446844)</f>
        <v>5.146824306</v>
      </c>
    </row>
    <row r="528" ht="14.25" customHeight="1">
      <c r="A528" s="3" t="s">
        <v>24</v>
      </c>
      <c r="B528" s="3" t="s">
        <v>36</v>
      </c>
      <c r="C528" s="3" t="s">
        <v>36</v>
      </c>
      <c r="D528" s="3" t="s">
        <v>13</v>
      </c>
      <c r="E528" s="3" t="s">
        <v>14</v>
      </c>
      <c r="F528" s="3">
        <v>180.0</v>
      </c>
      <c r="G528" s="4" t="s">
        <v>18</v>
      </c>
      <c r="H528" s="3">
        <v>4.9838917165425025</v>
      </c>
      <c r="K528" s="9" t="str">
        <f>IFERROR(__xludf.DUMMYFUNCTION("""COMPUTED_VALUE"""),"TT Off Central")</f>
        <v>TT Off Central</v>
      </c>
      <c r="L528" s="9" t="str">
        <f>IFERROR(__xludf.DUMMYFUNCTION("""COMPUTED_VALUE"""),"Goldmilk")</f>
        <v>Goldmilk</v>
      </c>
      <c r="M528" s="9" t="str">
        <f>IFERROR(__xludf.DUMMYFUNCTION("""COMPUTED_VALUE"""),"Goldmilk")</f>
        <v>Goldmilk</v>
      </c>
      <c r="N528" s="9" t="str">
        <f>IFERROR(__xludf.DUMMYFUNCTION("""COMPUTED_VALUE"""),"Sweetened")</f>
        <v>Sweetened</v>
      </c>
      <c r="O528" s="9" t="str">
        <f>IFERROR(__xludf.DUMMYFUNCTION("""COMPUTED_VALUE"""),"Carton")</f>
        <v>Carton</v>
      </c>
      <c r="P528" s="9">
        <f>IFERROR(__xludf.DUMMYFUNCTION("""COMPUTED_VALUE"""),180.0)</f>
        <v>180</v>
      </c>
      <c r="Q528" s="9" t="str">
        <f>IFERROR(__xludf.DUMMYFUNCTION("""COMPUTED_VALUE"""),"Q4'22")</f>
        <v>Q4'22</v>
      </c>
      <c r="R528" s="9">
        <f>IFERROR(__xludf.DUMMYFUNCTION("""COMPUTED_VALUE"""),4.522436517973619)</f>
        <v>4.522436518</v>
      </c>
    </row>
    <row r="529" ht="14.25" customHeight="1">
      <c r="A529" s="3" t="s">
        <v>24</v>
      </c>
      <c r="B529" s="3" t="s">
        <v>36</v>
      </c>
      <c r="C529" s="3" t="s">
        <v>36</v>
      </c>
      <c r="D529" s="3" t="s">
        <v>13</v>
      </c>
      <c r="E529" s="3" t="s">
        <v>14</v>
      </c>
      <c r="F529" s="3">
        <v>180.0</v>
      </c>
      <c r="G529" s="4" t="s">
        <v>19</v>
      </c>
      <c r="H529" s="3">
        <v>5.9802209340654615</v>
      </c>
      <c r="K529" s="9" t="str">
        <f>IFERROR(__xludf.DUMMYFUNCTION("""COMPUTED_VALUE"""),"TT Off Central")</f>
        <v>TT Off Central</v>
      </c>
      <c r="L529" s="9" t="str">
        <f>IFERROR(__xludf.DUMMYFUNCTION("""COMPUTED_VALUE"""),"Goldmilk")</f>
        <v>Goldmilk</v>
      </c>
      <c r="M529" s="9" t="str">
        <f>IFERROR(__xludf.DUMMYFUNCTION("""COMPUTED_VALUE"""),"Goldmilk")</f>
        <v>Goldmilk</v>
      </c>
      <c r="N529" s="9" t="str">
        <f>IFERROR(__xludf.DUMMYFUNCTION("""COMPUTED_VALUE"""),"Sweetened")</f>
        <v>Sweetened</v>
      </c>
      <c r="O529" s="9" t="str">
        <f>IFERROR(__xludf.DUMMYFUNCTION("""COMPUTED_VALUE"""),"Carton")</f>
        <v>Carton</v>
      </c>
      <c r="P529" s="9">
        <f>IFERROR(__xludf.DUMMYFUNCTION("""COMPUTED_VALUE"""),180.0)</f>
        <v>180</v>
      </c>
      <c r="Q529" s="9" t="str">
        <f>IFERROR(__xludf.DUMMYFUNCTION("""COMPUTED_VALUE"""),"Q1'23")</f>
        <v>Q1'23</v>
      </c>
      <c r="R529" s="9">
        <f>IFERROR(__xludf.DUMMYFUNCTION("""COMPUTED_VALUE"""),5.673392697188176)</f>
        <v>5.673392697</v>
      </c>
    </row>
    <row r="530" ht="14.25" customHeight="1">
      <c r="A530" s="3" t="s">
        <v>24</v>
      </c>
      <c r="B530" s="3" t="s">
        <v>36</v>
      </c>
      <c r="C530" s="3" t="s">
        <v>36</v>
      </c>
      <c r="D530" s="3" t="s">
        <v>13</v>
      </c>
      <c r="E530" s="3" t="s">
        <v>14</v>
      </c>
      <c r="F530" s="3">
        <v>180.0</v>
      </c>
      <c r="G530" s="4" t="s">
        <v>20</v>
      </c>
      <c r="H530" s="3">
        <v>5.634179688738848</v>
      </c>
      <c r="K530" s="9" t="str">
        <f>IFERROR(__xludf.DUMMYFUNCTION("""COMPUTED_VALUE"""),"TT Off Central")</f>
        <v>TT Off Central</v>
      </c>
      <c r="L530" s="9" t="str">
        <f>IFERROR(__xludf.DUMMYFUNCTION("""COMPUTED_VALUE"""),"Goldmilk")</f>
        <v>Goldmilk</v>
      </c>
      <c r="M530" s="9" t="str">
        <f>IFERROR(__xludf.DUMMYFUNCTION("""COMPUTED_VALUE"""),"Goldmilk")</f>
        <v>Goldmilk</v>
      </c>
      <c r="N530" s="9" t="str">
        <f>IFERROR(__xludf.DUMMYFUNCTION("""COMPUTED_VALUE"""),"Sweetened")</f>
        <v>Sweetened</v>
      </c>
      <c r="O530" s="9" t="str">
        <f>IFERROR(__xludf.DUMMYFUNCTION("""COMPUTED_VALUE"""),"Carton")</f>
        <v>Carton</v>
      </c>
      <c r="P530" s="9">
        <f>IFERROR(__xludf.DUMMYFUNCTION("""COMPUTED_VALUE"""),180.0)</f>
        <v>180</v>
      </c>
      <c r="Q530" s="9" t="str">
        <f>IFERROR(__xludf.DUMMYFUNCTION("""COMPUTED_VALUE"""),"Q2'23")</f>
        <v>Q2'23</v>
      </c>
      <c r="R530" s="9">
        <f>IFERROR(__xludf.DUMMYFUNCTION("""COMPUTED_VALUE"""),5.291299164471356)</f>
        <v>5.291299164</v>
      </c>
    </row>
    <row r="531" ht="14.25" customHeight="1">
      <c r="A531" s="3" t="s">
        <v>24</v>
      </c>
      <c r="B531" s="3" t="s">
        <v>36</v>
      </c>
      <c r="C531" s="3" t="s">
        <v>36</v>
      </c>
      <c r="D531" s="3" t="s">
        <v>13</v>
      </c>
      <c r="E531" s="3" t="s">
        <v>14</v>
      </c>
      <c r="F531" s="3">
        <v>180.0</v>
      </c>
      <c r="G531" s="4" t="s">
        <v>21</v>
      </c>
      <c r="H531" s="3">
        <v>5.236086772551634</v>
      </c>
      <c r="K531" s="9" t="str">
        <f>IFERROR(__xludf.DUMMYFUNCTION("""COMPUTED_VALUE"""),"TT Off Central")</f>
        <v>TT Off Central</v>
      </c>
      <c r="L531" s="9" t="str">
        <f>IFERROR(__xludf.DUMMYFUNCTION("""COMPUTED_VALUE"""),"Goldmilk")</f>
        <v>Goldmilk</v>
      </c>
      <c r="M531" s="9" t="str">
        <f>IFERROR(__xludf.DUMMYFUNCTION("""COMPUTED_VALUE"""),"Goldmilk")</f>
        <v>Goldmilk</v>
      </c>
      <c r="N531" s="9" t="str">
        <f>IFERROR(__xludf.DUMMYFUNCTION("""COMPUTED_VALUE"""),"Sweetened")</f>
        <v>Sweetened</v>
      </c>
      <c r="O531" s="9" t="str">
        <f>IFERROR(__xludf.DUMMYFUNCTION("""COMPUTED_VALUE"""),"Carton")</f>
        <v>Carton</v>
      </c>
      <c r="P531" s="9">
        <f>IFERROR(__xludf.DUMMYFUNCTION("""COMPUTED_VALUE"""),180.0)</f>
        <v>180</v>
      </c>
      <c r="Q531" s="9" t="str">
        <f>IFERROR(__xludf.DUMMYFUNCTION("""COMPUTED_VALUE"""),"Q3'23")</f>
        <v>Q3'23</v>
      </c>
      <c r="R531" s="9">
        <f>IFERROR(__xludf.DUMMYFUNCTION("""COMPUTED_VALUE"""),4.2422095095499515)</f>
        <v>4.24220951</v>
      </c>
    </row>
    <row r="532" ht="14.25" customHeight="1">
      <c r="A532" s="3" t="s">
        <v>24</v>
      </c>
      <c r="B532" s="3" t="s">
        <v>36</v>
      </c>
      <c r="C532" s="3" t="s">
        <v>36</v>
      </c>
      <c r="D532" s="3" t="s">
        <v>13</v>
      </c>
      <c r="E532" s="3" t="s">
        <v>14</v>
      </c>
      <c r="F532" s="3">
        <v>180.0</v>
      </c>
      <c r="G532" s="4" t="s">
        <v>22</v>
      </c>
      <c r="H532" s="3">
        <v>5.471104727083566</v>
      </c>
      <c r="K532" s="9" t="str">
        <f>IFERROR(__xludf.DUMMYFUNCTION("""COMPUTED_VALUE"""),"TT Off Central")</f>
        <v>TT Off Central</v>
      </c>
      <c r="L532" s="9" t="str">
        <f>IFERROR(__xludf.DUMMYFUNCTION("""COMPUTED_VALUE"""),"Goldmilk")</f>
        <v>Goldmilk</v>
      </c>
      <c r="M532" s="9" t="str">
        <f>IFERROR(__xludf.DUMMYFUNCTION("""COMPUTED_VALUE"""),"Goldmilk")</f>
        <v>Goldmilk</v>
      </c>
      <c r="N532" s="9" t="str">
        <f>IFERROR(__xludf.DUMMYFUNCTION("""COMPUTED_VALUE"""),"Sweetened")</f>
        <v>Sweetened</v>
      </c>
      <c r="O532" s="9" t="str">
        <f>IFERROR(__xludf.DUMMYFUNCTION("""COMPUTED_VALUE"""),"Carton")</f>
        <v>Carton</v>
      </c>
      <c r="P532" s="9">
        <f>IFERROR(__xludf.DUMMYFUNCTION("""COMPUTED_VALUE"""),180.0)</f>
        <v>180</v>
      </c>
      <c r="Q532" s="9" t="str">
        <f>IFERROR(__xludf.DUMMYFUNCTION("""COMPUTED_VALUE"""),"Q4'23")</f>
        <v>Q4'23</v>
      </c>
      <c r="R532" s="9">
        <f>IFERROR(__xludf.DUMMYFUNCTION("""COMPUTED_VALUE"""),4.649858075187849)</f>
        <v>4.649858075</v>
      </c>
    </row>
    <row r="533" ht="14.25" customHeight="1">
      <c r="A533" s="3" t="s">
        <v>24</v>
      </c>
      <c r="B533" s="3" t="s">
        <v>32</v>
      </c>
      <c r="C533" s="3" t="s">
        <v>46</v>
      </c>
      <c r="D533" s="3" t="s">
        <v>34</v>
      </c>
      <c r="E533" s="3" t="s">
        <v>14</v>
      </c>
      <c r="F533" s="3">
        <v>110.0</v>
      </c>
      <c r="G533" s="4" t="s">
        <v>15</v>
      </c>
      <c r="H533" s="3">
        <v>2.3971589753510525</v>
      </c>
      <c r="K533" s="9" t="str">
        <f>IFERROR(__xludf.DUMMYFUNCTION("""COMPUTED_VALUE"""),"TT Off Central")</f>
        <v>TT Off Central</v>
      </c>
      <c r="L533" s="9" t="str">
        <f>IFERROR(__xludf.DUMMYFUNCTION("""COMPUTED_VALUE"""),"Farmy")</f>
        <v>Farmy</v>
      </c>
      <c r="M533" s="9" t="str">
        <f>IFERROR(__xludf.DUMMYFUNCTION("""COMPUTED_VALUE"""),"Pro Plus ")</f>
        <v>Pro Plus </v>
      </c>
      <c r="N533" s="9" t="str">
        <f>IFERROR(__xludf.DUMMYFUNCTION("""COMPUTED_VALUE"""),"Vanilla")</f>
        <v>Vanilla</v>
      </c>
      <c r="O533" s="9" t="str">
        <f>IFERROR(__xludf.DUMMYFUNCTION("""COMPUTED_VALUE"""),"Carton")</f>
        <v>Carton</v>
      </c>
      <c r="P533" s="9">
        <f>IFERROR(__xludf.DUMMYFUNCTION("""COMPUTED_VALUE"""),110.0)</f>
        <v>110</v>
      </c>
      <c r="Q533" s="9" t="str">
        <f>IFERROR(__xludf.DUMMYFUNCTION("""COMPUTED_VALUE"""),"Q1'22")</f>
        <v>Q1'22</v>
      </c>
      <c r="R533" s="9">
        <f>IFERROR(__xludf.DUMMYFUNCTION("""COMPUTED_VALUE"""),4.683109856404891)</f>
        <v>4.683109856</v>
      </c>
    </row>
    <row r="534" ht="14.25" customHeight="1">
      <c r="A534" s="3" t="s">
        <v>24</v>
      </c>
      <c r="B534" s="3" t="s">
        <v>32</v>
      </c>
      <c r="C534" s="3" t="s">
        <v>46</v>
      </c>
      <c r="D534" s="3" t="s">
        <v>34</v>
      </c>
      <c r="E534" s="3" t="s">
        <v>14</v>
      </c>
      <c r="F534" s="3">
        <v>110.0</v>
      </c>
      <c r="G534" s="4" t="s">
        <v>16</v>
      </c>
      <c r="H534" s="3">
        <v>2.3801461518321685</v>
      </c>
      <c r="K534" s="9" t="str">
        <f>IFERROR(__xludf.DUMMYFUNCTION("""COMPUTED_VALUE"""),"TT Off Central")</f>
        <v>TT Off Central</v>
      </c>
      <c r="L534" s="9" t="str">
        <f>IFERROR(__xludf.DUMMYFUNCTION("""COMPUTED_VALUE"""),"Farmy")</f>
        <v>Farmy</v>
      </c>
      <c r="M534" s="9" t="str">
        <f>IFERROR(__xludf.DUMMYFUNCTION("""COMPUTED_VALUE"""),"Pro Plus ")</f>
        <v>Pro Plus </v>
      </c>
      <c r="N534" s="9" t="str">
        <f>IFERROR(__xludf.DUMMYFUNCTION("""COMPUTED_VALUE"""),"Vanilla")</f>
        <v>Vanilla</v>
      </c>
      <c r="O534" s="9" t="str">
        <f>IFERROR(__xludf.DUMMYFUNCTION("""COMPUTED_VALUE"""),"Carton")</f>
        <v>Carton</v>
      </c>
      <c r="P534" s="9">
        <f>IFERROR(__xludf.DUMMYFUNCTION("""COMPUTED_VALUE"""),110.0)</f>
        <v>110</v>
      </c>
      <c r="Q534" s="9" t="str">
        <f>IFERROR(__xludf.DUMMYFUNCTION("""COMPUTED_VALUE"""),"Q2'22")</f>
        <v>Q2'22</v>
      </c>
      <c r="R534" s="9">
        <f>IFERROR(__xludf.DUMMYFUNCTION("""COMPUTED_VALUE"""),5.8225285487795535)</f>
        <v>5.822528549</v>
      </c>
    </row>
    <row r="535" ht="14.25" customHeight="1">
      <c r="A535" s="3" t="s">
        <v>24</v>
      </c>
      <c r="B535" s="3" t="s">
        <v>32</v>
      </c>
      <c r="C535" s="3" t="s">
        <v>46</v>
      </c>
      <c r="D535" s="3" t="s">
        <v>34</v>
      </c>
      <c r="E535" s="3" t="s">
        <v>14</v>
      </c>
      <c r="F535" s="3">
        <v>110.0</v>
      </c>
      <c r="G535" s="4" t="s">
        <v>17</v>
      </c>
      <c r="H535" s="3">
        <v>2.5323815412293853</v>
      </c>
      <c r="K535" s="9" t="str">
        <f>IFERROR(__xludf.DUMMYFUNCTION("""COMPUTED_VALUE"""),"TT Off Central")</f>
        <v>TT Off Central</v>
      </c>
      <c r="L535" s="9" t="str">
        <f>IFERROR(__xludf.DUMMYFUNCTION("""COMPUTED_VALUE"""),"Farmy")</f>
        <v>Farmy</v>
      </c>
      <c r="M535" s="9" t="str">
        <f>IFERROR(__xludf.DUMMYFUNCTION("""COMPUTED_VALUE"""),"Pro Plus ")</f>
        <v>Pro Plus </v>
      </c>
      <c r="N535" s="9" t="str">
        <f>IFERROR(__xludf.DUMMYFUNCTION("""COMPUTED_VALUE"""),"Vanilla")</f>
        <v>Vanilla</v>
      </c>
      <c r="O535" s="9" t="str">
        <f>IFERROR(__xludf.DUMMYFUNCTION("""COMPUTED_VALUE"""),"Carton")</f>
        <v>Carton</v>
      </c>
      <c r="P535" s="9">
        <f>IFERROR(__xludf.DUMMYFUNCTION("""COMPUTED_VALUE"""),110.0)</f>
        <v>110</v>
      </c>
      <c r="Q535" s="9" t="str">
        <f>IFERROR(__xludf.DUMMYFUNCTION("""COMPUTED_VALUE"""),"Q3'22")</f>
        <v>Q3'22</v>
      </c>
      <c r="R535" s="9">
        <f>IFERROR(__xludf.DUMMYFUNCTION("""COMPUTED_VALUE"""),6.192347289154222)</f>
        <v>6.192347289</v>
      </c>
    </row>
    <row r="536" ht="14.25" customHeight="1">
      <c r="A536" s="3" t="s">
        <v>24</v>
      </c>
      <c r="B536" s="3" t="s">
        <v>32</v>
      </c>
      <c r="C536" s="3" t="s">
        <v>46</v>
      </c>
      <c r="D536" s="3" t="s">
        <v>34</v>
      </c>
      <c r="E536" s="3" t="s">
        <v>14</v>
      </c>
      <c r="F536" s="3">
        <v>110.0</v>
      </c>
      <c r="G536" s="4" t="s">
        <v>18</v>
      </c>
      <c r="H536" s="3">
        <v>2.790309462881934</v>
      </c>
      <c r="K536" s="9" t="str">
        <f>IFERROR(__xludf.DUMMYFUNCTION("""COMPUTED_VALUE"""),"TT Off Central")</f>
        <v>TT Off Central</v>
      </c>
      <c r="L536" s="9" t="str">
        <f>IFERROR(__xludf.DUMMYFUNCTION("""COMPUTED_VALUE"""),"Farmy")</f>
        <v>Farmy</v>
      </c>
      <c r="M536" s="9" t="str">
        <f>IFERROR(__xludf.DUMMYFUNCTION("""COMPUTED_VALUE"""),"Pro Plus ")</f>
        <v>Pro Plus </v>
      </c>
      <c r="N536" s="9" t="str">
        <f>IFERROR(__xludf.DUMMYFUNCTION("""COMPUTED_VALUE"""),"Vanilla")</f>
        <v>Vanilla</v>
      </c>
      <c r="O536" s="9" t="str">
        <f>IFERROR(__xludf.DUMMYFUNCTION("""COMPUTED_VALUE"""),"Carton")</f>
        <v>Carton</v>
      </c>
      <c r="P536" s="9">
        <f>IFERROR(__xludf.DUMMYFUNCTION("""COMPUTED_VALUE"""),110.0)</f>
        <v>110</v>
      </c>
      <c r="Q536" s="9" t="str">
        <f>IFERROR(__xludf.DUMMYFUNCTION("""COMPUTED_VALUE"""),"Q4'22")</f>
        <v>Q4'22</v>
      </c>
      <c r="R536" s="9">
        <f>IFERROR(__xludf.DUMMYFUNCTION("""COMPUTED_VALUE"""),7.392121883442863)</f>
        <v>7.392121883</v>
      </c>
    </row>
    <row r="537" ht="14.25" customHeight="1">
      <c r="A537" s="3" t="s">
        <v>24</v>
      </c>
      <c r="B537" s="3" t="s">
        <v>32</v>
      </c>
      <c r="C537" s="3" t="s">
        <v>46</v>
      </c>
      <c r="D537" s="3" t="s">
        <v>34</v>
      </c>
      <c r="E537" s="3" t="s">
        <v>14</v>
      </c>
      <c r="F537" s="3">
        <v>110.0</v>
      </c>
      <c r="G537" s="4" t="s">
        <v>19</v>
      </c>
      <c r="H537" s="3">
        <v>2.7018843604623646</v>
      </c>
      <c r="K537" s="9" t="str">
        <f>IFERROR(__xludf.DUMMYFUNCTION("""COMPUTED_VALUE"""),"TT Off Central")</f>
        <v>TT Off Central</v>
      </c>
      <c r="L537" s="9" t="str">
        <f>IFERROR(__xludf.DUMMYFUNCTION("""COMPUTED_VALUE"""),"Farmy")</f>
        <v>Farmy</v>
      </c>
      <c r="M537" s="9" t="str">
        <f>IFERROR(__xludf.DUMMYFUNCTION("""COMPUTED_VALUE"""),"Pro Plus ")</f>
        <v>Pro Plus </v>
      </c>
      <c r="N537" s="9" t="str">
        <f>IFERROR(__xludf.DUMMYFUNCTION("""COMPUTED_VALUE"""),"Vanilla")</f>
        <v>Vanilla</v>
      </c>
      <c r="O537" s="9" t="str">
        <f>IFERROR(__xludf.DUMMYFUNCTION("""COMPUTED_VALUE"""),"Carton")</f>
        <v>Carton</v>
      </c>
      <c r="P537" s="9">
        <f>IFERROR(__xludf.DUMMYFUNCTION("""COMPUTED_VALUE"""),110.0)</f>
        <v>110</v>
      </c>
      <c r="Q537" s="9" t="str">
        <f>IFERROR(__xludf.DUMMYFUNCTION("""COMPUTED_VALUE"""),"Q1'23")</f>
        <v>Q1'23</v>
      </c>
      <c r="R537" s="9">
        <f>IFERROR(__xludf.DUMMYFUNCTION("""COMPUTED_VALUE"""),6.495328802845418)</f>
        <v>6.495328803</v>
      </c>
    </row>
    <row r="538" ht="14.25" customHeight="1">
      <c r="A538" s="3" t="s">
        <v>24</v>
      </c>
      <c r="B538" s="3" t="s">
        <v>32</v>
      </c>
      <c r="C538" s="3" t="s">
        <v>46</v>
      </c>
      <c r="D538" s="3" t="s">
        <v>34</v>
      </c>
      <c r="E538" s="3" t="s">
        <v>14</v>
      </c>
      <c r="F538" s="3">
        <v>110.0</v>
      </c>
      <c r="G538" s="4" t="s">
        <v>20</v>
      </c>
      <c r="H538" s="3">
        <v>2.3662944699778117</v>
      </c>
      <c r="K538" s="9" t="str">
        <f>IFERROR(__xludf.DUMMYFUNCTION("""COMPUTED_VALUE"""),"TT Off Central")</f>
        <v>TT Off Central</v>
      </c>
      <c r="L538" s="9" t="str">
        <f>IFERROR(__xludf.DUMMYFUNCTION("""COMPUTED_VALUE"""),"Farmy")</f>
        <v>Farmy</v>
      </c>
      <c r="M538" s="9" t="str">
        <f>IFERROR(__xludf.DUMMYFUNCTION("""COMPUTED_VALUE"""),"Pro Plus ")</f>
        <v>Pro Plus </v>
      </c>
      <c r="N538" s="9" t="str">
        <f>IFERROR(__xludf.DUMMYFUNCTION("""COMPUTED_VALUE"""),"Vanilla")</f>
        <v>Vanilla</v>
      </c>
      <c r="O538" s="9" t="str">
        <f>IFERROR(__xludf.DUMMYFUNCTION("""COMPUTED_VALUE"""),"Carton")</f>
        <v>Carton</v>
      </c>
      <c r="P538" s="9">
        <f>IFERROR(__xludf.DUMMYFUNCTION("""COMPUTED_VALUE"""),110.0)</f>
        <v>110</v>
      </c>
      <c r="Q538" s="9" t="str">
        <f>IFERROR(__xludf.DUMMYFUNCTION("""COMPUTED_VALUE"""),"Q2'23")</f>
        <v>Q2'23</v>
      </c>
      <c r="R538" s="9">
        <f>IFERROR(__xludf.DUMMYFUNCTION("""COMPUTED_VALUE"""),6.513903497379202)</f>
        <v>6.513903497</v>
      </c>
    </row>
    <row r="539" ht="14.25" customHeight="1">
      <c r="A539" s="3" t="s">
        <v>24</v>
      </c>
      <c r="B539" s="3" t="s">
        <v>32</v>
      </c>
      <c r="C539" s="3" t="s">
        <v>46</v>
      </c>
      <c r="D539" s="3" t="s">
        <v>34</v>
      </c>
      <c r="E539" s="3" t="s">
        <v>14</v>
      </c>
      <c r="F539" s="3">
        <v>110.0</v>
      </c>
      <c r="G539" s="4" t="s">
        <v>21</v>
      </c>
      <c r="H539" s="3">
        <v>2.556057813056899</v>
      </c>
      <c r="K539" s="9" t="str">
        <f>IFERROR(__xludf.DUMMYFUNCTION("""COMPUTED_VALUE"""),"TT Off Central")</f>
        <v>TT Off Central</v>
      </c>
      <c r="L539" s="9" t="str">
        <f>IFERROR(__xludf.DUMMYFUNCTION("""COMPUTED_VALUE"""),"Farmy")</f>
        <v>Farmy</v>
      </c>
      <c r="M539" s="9" t="str">
        <f>IFERROR(__xludf.DUMMYFUNCTION("""COMPUTED_VALUE"""),"Pro Plus ")</f>
        <v>Pro Plus </v>
      </c>
      <c r="N539" s="9" t="str">
        <f>IFERROR(__xludf.DUMMYFUNCTION("""COMPUTED_VALUE"""),"Vanilla")</f>
        <v>Vanilla</v>
      </c>
      <c r="O539" s="9" t="str">
        <f>IFERROR(__xludf.DUMMYFUNCTION("""COMPUTED_VALUE"""),"Carton")</f>
        <v>Carton</v>
      </c>
      <c r="P539" s="9">
        <f>IFERROR(__xludf.DUMMYFUNCTION("""COMPUTED_VALUE"""),110.0)</f>
        <v>110</v>
      </c>
      <c r="Q539" s="9" t="str">
        <f>IFERROR(__xludf.DUMMYFUNCTION("""COMPUTED_VALUE"""),"Q3'23")</f>
        <v>Q3'23</v>
      </c>
      <c r="R539" s="9">
        <f>IFERROR(__xludf.DUMMYFUNCTION("""COMPUTED_VALUE"""),6.454267371318391)</f>
        <v>6.454267371</v>
      </c>
    </row>
    <row r="540" ht="14.25" customHeight="1">
      <c r="A540" s="3" t="s">
        <v>24</v>
      </c>
      <c r="B540" s="3" t="s">
        <v>32</v>
      </c>
      <c r="C540" s="3" t="s">
        <v>46</v>
      </c>
      <c r="D540" s="3" t="s">
        <v>34</v>
      </c>
      <c r="E540" s="3" t="s">
        <v>14</v>
      </c>
      <c r="F540" s="3">
        <v>110.0</v>
      </c>
      <c r="G540" s="4" t="s">
        <v>22</v>
      </c>
      <c r="H540" s="3">
        <v>3.3203202502305116</v>
      </c>
      <c r="K540" s="9" t="str">
        <f>IFERROR(__xludf.DUMMYFUNCTION("""COMPUTED_VALUE"""),"TT Off Central")</f>
        <v>TT Off Central</v>
      </c>
      <c r="L540" s="9" t="str">
        <f>IFERROR(__xludf.DUMMYFUNCTION("""COMPUTED_VALUE"""),"Farmy")</f>
        <v>Farmy</v>
      </c>
      <c r="M540" s="9" t="str">
        <f>IFERROR(__xludf.DUMMYFUNCTION("""COMPUTED_VALUE"""),"Pro Plus ")</f>
        <v>Pro Plus </v>
      </c>
      <c r="N540" s="9" t="str">
        <f>IFERROR(__xludf.DUMMYFUNCTION("""COMPUTED_VALUE"""),"Vanilla")</f>
        <v>Vanilla</v>
      </c>
      <c r="O540" s="9" t="str">
        <f>IFERROR(__xludf.DUMMYFUNCTION("""COMPUTED_VALUE"""),"Carton")</f>
        <v>Carton</v>
      </c>
      <c r="P540" s="9">
        <f>IFERROR(__xludf.DUMMYFUNCTION("""COMPUTED_VALUE"""),110.0)</f>
        <v>110</v>
      </c>
      <c r="Q540" s="9" t="str">
        <f>IFERROR(__xludf.DUMMYFUNCTION("""COMPUTED_VALUE"""),"Q4'23")</f>
        <v>Q4'23</v>
      </c>
      <c r="R540" s="9">
        <f>IFERROR(__xludf.DUMMYFUNCTION("""COMPUTED_VALUE"""),5.62994804036495)</f>
        <v>5.62994804</v>
      </c>
    </row>
    <row r="541" ht="14.25" customHeight="1">
      <c r="A541" s="3" t="s">
        <v>24</v>
      </c>
      <c r="B541" s="3" t="s">
        <v>32</v>
      </c>
      <c r="C541" s="3" t="s">
        <v>46</v>
      </c>
      <c r="D541" s="3" t="s">
        <v>34</v>
      </c>
      <c r="E541" s="3" t="s">
        <v>14</v>
      </c>
      <c r="F541" s="3">
        <v>180.0</v>
      </c>
      <c r="G541" s="4" t="s">
        <v>15</v>
      </c>
      <c r="H541" s="3">
        <v>0.2674068925653814</v>
      </c>
      <c r="K541" s="9" t="str">
        <f>IFERROR(__xludf.DUMMYFUNCTION("""COMPUTED_VALUE"""),"TT Off Central")</f>
        <v>TT Off Central</v>
      </c>
      <c r="L541" s="9" t="str">
        <f>IFERROR(__xludf.DUMMYFUNCTION("""COMPUTED_VALUE"""),"Farmy")</f>
        <v>Farmy</v>
      </c>
      <c r="M541" s="9" t="str">
        <f>IFERROR(__xludf.DUMMYFUNCTION("""COMPUTED_VALUE"""),"Pro Plus ")</f>
        <v>Pro Plus </v>
      </c>
      <c r="N541" s="9" t="str">
        <f>IFERROR(__xludf.DUMMYFUNCTION("""COMPUTED_VALUE"""),"Vanilla")</f>
        <v>Vanilla</v>
      </c>
      <c r="O541" s="9" t="str">
        <f>IFERROR(__xludf.DUMMYFUNCTION("""COMPUTED_VALUE"""),"Carton")</f>
        <v>Carton</v>
      </c>
      <c r="P541" s="9">
        <f>IFERROR(__xludf.DUMMYFUNCTION("""COMPUTED_VALUE"""),180.0)</f>
        <v>180</v>
      </c>
      <c r="Q541" s="9" t="str">
        <f>IFERROR(__xludf.DUMMYFUNCTION("""COMPUTED_VALUE"""),"Q1'22")</f>
        <v>Q1'22</v>
      </c>
      <c r="R541" s="9">
        <f>IFERROR(__xludf.DUMMYFUNCTION("""COMPUTED_VALUE"""),1.9384376435276554)</f>
        <v>1.938437644</v>
      </c>
    </row>
    <row r="542" ht="14.25" customHeight="1">
      <c r="A542" s="3" t="s">
        <v>24</v>
      </c>
      <c r="B542" s="3" t="s">
        <v>32</v>
      </c>
      <c r="C542" s="3" t="s">
        <v>46</v>
      </c>
      <c r="D542" s="3" t="s">
        <v>34</v>
      </c>
      <c r="E542" s="3" t="s">
        <v>14</v>
      </c>
      <c r="F542" s="3">
        <v>180.0</v>
      </c>
      <c r="G542" s="4" t="s">
        <v>16</v>
      </c>
      <c r="H542" s="3">
        <v>0.31412766291498245</v>
      </c>
      <c r="K542" s="9" t="str">
        <f>IFERROR(__xludf.DUMMYFUNCTION("""COMPUTED_VALUE"""),"TT Off Central")</f>
        <v>TT Off Central</v>
      </c>
      <c r="L542" s="9" t="str">
        <f>IFERROR(__xludf.DUMMYFUNCTION("""COMPUTED_VALUE"""),"Farmy")</f>
        <v>Farmy</v>
      </c>
      <c r="M542" s="9" t="str">
        <f>IFERROR(__xludf.DUMMYFUNCTION("""COMPUTED_VALUE"""),"Pro Plus ")</f>
        <v>Pro Plus </v>
      </c>
      <c r="N542" s="9" t="str">
        <f>IFERROR(__xludf.DUMMYFUNCTION("""COMPUTED_VALUE"""),"Vanilla")</f>
        <v>Vanilla</v>
      </c>
      <c r="O542" s="9" t="str">
        <f>IFERROR(__xludf.DUMMYFUNCTION("""COMPUTED_VALUE"""),"Carton")</f>
        <v>Carton</v>
      </c>
      <c r="P542" s="9">
        <f>IFERROR(__xludf.DUMMYFUNCTION("""COMPUTED_VALUE"""),180.0)</f>
        <v>180</v>
      </c>
      <c r="Q542" s="9" t="str">
        <f>IFERROR(__xludf.DUMMYFUNCTION("""COMPUTED_VALUE"""),"Q2'22")</f>
        <v>Q2'22</v>
      </c>
      <c r="R542" s="9">
        <f>IFERROR(__xludf.DUMMYFUNCTION("""COMPUTED_VALUE"""),1.3730132337013854)</f>
        <v>1.373013234</v>
      </c>
    </row>
    <row r="543" ht="14.25" customHeight="1">
      <c r="A543" s="3" t="s">
        <v>24</v>
      </c>
      <c r="B543" s="3" t="s">
        <v>32</v>
      </c>
      <c r="C543" s="3" t="s">
        <v>46</v>
      </c>
      <c r="D543" s="3" t="s">
        <v>34</v>
      </c>
      <c r="E543" s="3" t="s">
        <v>14</v>
      </c>
      <c r="F543" s="3">
        <v>180.0</v>
      </c>
      <c r="G543" s="4" t="s">
        <v>17</v>
      </c>
      <c r="H543" s="3">
        <v>0.4163895687928474</v>
      </c>
      <c r="K543" s="9" t="str">
        <f>IFERROR(__xludf.DUMMYFUNCTION("""COMPUTED_VALUE"""),"TT Off Central")</f>
        <v>TT Off Central</v>
      </c>
      <c r="L543" s="9" t="str">
        <f>IFERROR(__xludf.DUMMYFUNCTION("""COMPUTED_VALUE"""),"Farmy")</f>
        <v>Farmy</v>
      </c>
      <c r="M543" s="9" t="str">
        <f>IFERROR(__xludf.DUMMYFUNCTION("""COMPUTED_VALUE"""),"Pro Plus ")</f>
        <v>Pro Plus </v>
      </c>
      <c r="N543" s="9" t="str">
        <f>IFERROR(__xludf.DUMMYFUNCTION("""COMPUTED_VALUE"""),"Vanilla")</f>
        <v>Vanilla</v>
      </c>
      <c r="O543" s="9" t="str">
        <f>IFERROR(__xludf.DUMMYFUNCTION("""COMPUTED_VALUE"""),"Carton")</f>
        <v>Carton</v>
      </c>
      <c r="P543" s="9">
        <f>IFERROR(__xludf.DUMMYFUNCTION("""COMPUTED_VALUE"""),180.0)</f>
        <v>180</v>
      </c>
      <c r="Q543" s="9" t="str">
        <f>IFERROR(__xludf.DUMMYFUNCTION("""COMPUTED_VALUE"""),"Q3'22")</f>
        <v>Q3'22</v>
      </c>
      <c r="R543" s="9">
        <f>IFERROR(__xludf.DUMMYFUNCTION("""COMPUTED_VALUE"""),1.1925212372749092)</f>
        <v>1.192521237</v>
      </c>
    </row>
    <row r="544" ht="14.25" customHeight="1">
      <c r="A544" s="3" t="s">
        <v>24</v>
      </c>
      <c r="B544" s="3" t="s">
        <v>32</v>
      </c>
      <c r="C544" s="3" t="s">
        <v>46</v>
      </c>
      <c r="D544" s="3" t="s">
        <v>34</v>
      </c>
      <c r="E544" s="3" t="s">
        <v>14</v>
      </c>
      <c r="F544" s="3">
        <v>180.0</v>
      </c>
      <c r="G544" s="4" t="s">
        <v>18</v>
      </c>
      <c r="H544" s="3">
        <v>0.22764093521046186</v>
      </c>
      <c r="K544" s="9" t="str">
        <f>IFERROR(__xludf.DUMMYFUNCTION("""COMPUTED_VALUE"""),"TT Off Central")</f>
        <v>TT Off Central</v>
      </c>
      <c r="L544" s="9" t="str">
        <f>IFERROR(__xludf.DUMMYFUNCTION("""COMPUTED_VALUE"""),"Farmy")</f>
        <v>Farmy</v>
      </c>
      <c r="M544" s="9" t="str">
        <f>IFERROR(__xludf.DUMMYFUNCTION("""COMPUTED_VALUE"""),"Pro Plus ")</f>
        <v>Pro Plus </v>
      </c>
      <c r="N544" s="9" t="str">
        <f>IFERROR(__xludf.DUMMYFUNCTION("""COMPUTED_VALUE"""),"Vanilla")</f>
        <v>Vanilla</v>
      </c>
      <c r="O544" s="9" t="str">
        <f>IFERROR(__xludf.DUMMYFUNCTION("""COMPUTED_VALUE"""),"Carton")</f>
        <v>Carton</v>
      </c>
      <c r="P544" s="9">
        <f>IFERROR(__xludf.DUMMYFUNCTION("""COMPUTED_VALUE"""),180.0)</f>
        <v>180</v>
      </c>
      <c r="Q544" s="9" t="str">
        <f>IFERROR(__xludf.DUMMYFUNCTION("""COMPUTED_VALUE"""),"Q4'22")</f>
        <v>Q4'22</v>
      </c>
      <c r="R544" s="9">
        <f>IFERROR(__xludf.DUMMYFUNCTION("""COMPUTED_VALUE"""),1.2377252037711914)</f>
        <v>1.237725204</v>
      </c>
    </row>
    <row r="545" ht="14.25" customHeight="1">
      <c r="A545" s="3" t="s">
        <v>24</v>
      </c>
      <c r="B545" s="3" t="s">
        <v>32</v>
      </c>
      <c r="C545" s="3" t="s">
        <v>46</v>
      </c>
      <c r="D545" s="3" t="s">
        <v>34</v>
      </c>
      <c r="E545" s="3" t="s">
        <v>14</v>
      </c>
      <c r="F545" s="3">
        <v>180.0</v>
      </c>
      <c r="G545" s="4" t="s">
        <v>19</v>
      </c>
      <c r="H545" s="3">
        <v>0.25984318465099365</v>
      </c>
      <c r="K545" s="9" t="str">
        <f>IFERROR(__xludf.DUMMYFUNCTION("""COMPUTED_VALUE"""),"TT Off Central")</f>
        <v>TT Off Central</v>
      </c>
      <c r="L545" s="9" t="str">
        <f>IFERROR(__xludf.DUMMYFUNCTION("""COMPUTED_VALUE"""),"Farmy")</f>
        <v>Farmy</v>
      </c>
      <c r="M545" s="9" t="str">
        <f>IFERROR(__xludf.DUMMYFUNCTION("""COMPUTED_VALUE"""),"Pro Plus ")</f>
        <v>Pro Plus </v>
      </c>
      <c r="N545" s="9" t="str">
        <f>IFERROR(__xludf.DUMMYFUNCTION("""COMPUTED_VALUE"""),"Vanilla")</f>
        <v>Vanilla</v>
      </c>
      <c r="O545" s="9" t="str">
        <f>IFERROR(__xludf.DUMMYFUNCTION("""COMPUTED_VALUE"""),"Carton")</f>
        <v>Carton</v>
      </c>
      <c r="P545" s="9">
        <f>IFERROR(__xludf.DUMMYFUNCTION("""COMPUTED_VALUE"""),180.0)</f>
        <v>180</v>
      </c>
      <c r="Q545" s="9" t="str">
        <f>IFERROR(__xludf.DUMMYFUNCTION("""COMPUTED_VALUE"""),"Q1'23")</f>
        <v>Q1'23</v>
      </c>
      <c r="R545" s="9">
        <f>IFERROR(__xludf.DUMMYFUNCTION("""COMPUTED_VALUE"""),1.5831028676672065)</f>
        <v>1.583102868</v>
      </c>
    </row>
    <row r="546" ht="14.25" customHeight="1">
      <c r="A546" s="3" t="s">
        <v>24</v>
      </c>
      <c r="B546" s="3" t="s">
        <v>32</v>
      </c>
      <c r="C546" s="3" t="s">
        <v>46</v>
      </c>
      <c r="D546" s="3" t="s">
        <v>34</v>
      </c>
      <c r="E546" s="3" t="s">
        <v>14</v>
      </c>
      <c r="F546" s="3">
        <v>180.0</v>
      </c>
      <c r="G546" s="4" t="s">
        <v>20</v>
      </c>
      <c r="H546" s="3">
        <v>0.2540135345222162</v>
      </c>
      <c r="K546" s="9" t="str">
        <f>IFERROR(__xludf.DUMMYFUNCTION("""COMPUTED_VALUE"""),"TT Off Central")</f>
        <v>TT Off Central</v>
      </c>
      <c r="L546" s="9" t="str">
        <f>IFERROR(__xludf.DUMMYFUNCTION("""COMPUTED_VALUE"""),"Farmy")</f>
        <v>Farmy</v>
      </c>
      <c r="M546" s="9" t="str">
        <f>IFERROR(__xludf.DUMMYFUNCTION("""COMPUTED_VALUE"""),"Pro Plus ")</f>
        <v>Pro Plus </v>
      </c>
      <c r="N546" s="9" t="str">
        <f>IFERROR(__xludf.DUMMYFUNCTION("""COMPUTED_VALUE"""),"Vanilla")</f>
        <v>Vanilla</v>
      </c>
      <c r="O546" s="9" t="str">
        <f>IFERROR(__xludf.DUMMYFUNCTION("""COMPUTED_VALUE"""),"Carton")</f>
        <v>Carton</v>
      </c>
      <c r="P546" s="9">
        <f>IFERROR(__xludf.DUMMYFUNCTION("""COMPUTED_VALUE"""),180.0)</f>
        <v>180</v>
      </c>
      <c r="Q546" s="9" t="str">
        <f>IFERROR(__xludf.DUMMYFUNCTION("""COMPUTED_VALUE"""),"Q2'23")</f>
        <v>Q2'23</v>
      </c>
      <c r="R546" s="9">
        <f>IFERROR(__xludf.DUMMYFUNCTION("""COMPUTED_VALUE"""),1.299371719724301)</f>
        <v>1.29937172</v>
      </c>
    </row>
    <row r="547" ht="14.25" customHeight="1">
      <c r="A547" s="3" t="s">
        <v>24</v>
      </c>
      <c r="B547" s="3" t="s">
        <v>32</v>
      </c>
      <c r="C547" s="3" t="s">
        <v>46</v>
      </c>
      <c r="D547" s="3" t="s">
        <v>34</v>
      </c>
      <c r="E547" s="3" t="s">
        <v>14</v>
      </c>
      <c r="F547" s="3">
        <v>180.0</v>
      </c>
      <c r="G547" s="4" t="s">
        <v>21</v>
      </c>
      <c r="H547" s="3">
        <v>0.14473171887865285</v>
      </c>
      <c r="K547" s="9" t="str">
        <f>IFERROR(__xludf.DUMMYFUNCTION("""COMPUTED_VALUE"""),"TT Off Central")</f>
        <v>TT Off Central</v>
      </c>
      <c r="L547" s="9" t="str">
        <f>IFERROR(__xludf.DUMMYFUNCTION("""COMPUTED_VALUE"""),"Farmy")</f>
        <v>Farmy</v>
      </c>
      <c r="M547" s="9" t="str">
        <f>IFERROR(__xludf.DUMMYFUNCTION("""COMPUTED_VALUE"""),"Pro Plus ")</f>
        <v>Pro Plus </v>
      </c>
      <c r="N547" s="9" t="str">
        <f>IFERROR(__xludf.DUMMYFUNCTION("""COMPUTED_VALUE"""),"Vanilla")</f>
        <v>Vanilla</v>
      </c>
      <c r="O547" s="9" t="str">
        <f>IFERROR(__xludf.DUMMYFUNCTION("""COMPUTED_VALUE"""),"Carton")</f>
        <v>Carton</v>
      </c>
      <c r="P547" s="9">
        <f>IFERROR(__xludf.DUMMYFUNCTION("""COMPUTED_VALUE"""),180.0)</f>
        <v>180</v>
      </c>
      <c r="Q547" s="9" t="str">
        <f>IFERROR(__xludf.DUMMYFUNCTION("""COMPUTED_VALUE"""),"Q3'23")</f>
        <v>Q3'23</v>
      </c>
      <c r="R547" s="9">
        <f>IFERROR(__xludf.DUMMYFUNCTION("""COMPUTED_VALUE"""),1.143919658791117)</f>
        <v>1.143919659</v>
      </c>
    </row>
    <row r="548" ht="14.25" customHeight="1">
      <c r="A548" s="3" t="s">
        <v>24</v>
      </c>
      <c r="B548" s="3" t="s">
        <v>32</v>
      </c>
      <c r="C548" s="3" t="s">
        <v>46</v>
      </c>
      <c r="D548" s="3" t="s">
        <v>34</v>
      </c>
      <c r="E548" s="3" t="s">
        <v>14</v>
      </c>
      <c r="F548" s="3">
        <v>180.0</v>
      </c>
      <c r="G548" s="4" t="s">
        <v>22</v>
      </c>
      <c r="H548" s="3">
        <v>0.1681410257407932</v>
      </c>
      <c r="K548" s="9" t="str">
        <f>IFERROR(__xludf.DUMMYFUNCTION("""COMPUTED_VALUE"""),"TT Off Central")</f>
        <v>TT Off Central</v>
      </c>
      <c r="L548" s="9" t="str">
        <f>IFERROR(__xludf.DUMMYFUNCTION("""COMPUTED_VALUE"""),"Farmy")</f>
        <v>Farmy</v>
      </c>
      <c r="M548" s="9" t="str">
        <f>IFERROR(__xludf.DUMMYFUNCTION("""COMPUTED_VALUE"""),"Pro Plus ")</f>
        <v>Pro Plus </v>
      </c>
      <c r="N548" s="9" t="str">
        <f>IFERROR(__xludf.DUMMYFUNCTION("""COMPUTED_VALUE"""),"Vanilla")</f>
        <v>Vanilla</v>
      </c>
      <c r="O548" s="9" t="str">
        <f>IFERROR(__xludf.DUMMYFUNCTION("""COMPUTED_VALUE"""),"Carton")</f>
        <v>Carton</v>
      </c>
      <c r="P548" s="9">
        <f>IFERROR(__xludf.DUMMYFUNCTION("""COMPUTED_VALUE"""),180.0)</f>
        <v>180</v>
      </c>
      <c r="Q548" s="9" t="str">
        <f>IFERROR(__xludf.DUMMYFUNCTION("""COMPUTED_VALUE"""),"Q4'23")</f>
        <v>Q4'23</v>
      </c>
      <c r="R548" s="9">
        <f>IFERROR(__xludf.DUMMYFUNCTION("""COMPUTED_VALUE"""),0.9274336275044504)</f>
        <v>0.9274336275</v>
      </c>
    </row>
    <row r="549" ht="14.25" customHeight="1">
      <c r="A549" s="3" t="s">
        <v>24</v>
      </c>
      <c r="B549" s="3" t="s">
        <v>32</v>
      </c>
      <c r="C549" s="3" t="s">
        <v>35</v>
      </c>
      <c r="D549" s="3" t="s">
        <v>30</v>
      </c>
      <c r="E549" s="3" t="s">
        <v>29</v>
      </c>
      <c r="F549" s="3">
        <v>220.0</v>
      </c>
      <c r="G549" s="4" t="s">
        <v>15</v>
      </c>
      <c r="H549" s="3">
        <v>0.08711739168650147</v>
      </c>
      <c r="K549" s="9" t="str">
        <f>IFERROR(__xludf.DUMMYFUNCTION("""COMPUTED_VALUE"""),"TT Off Central")</f>
        <v>TT Off Central</v>
      </c>
      <c r="L549" s="9" t="str">
        <f>IFERROR(__xludf.DUMMYFUNCTION("""COMPUTED_VALUE"""),"Farmy")</f>
        <v>Farmy</v>
      </c>
      <c r="M549" s="9" t="str">
        <f>IFERROR(__xludf.DUMMYFUNCTION("""COMPUTED_VALUE"""),"Pro 100% Fresh")</f>
        <v>Pro 100% Fresh</v>
      </c>
      <c r="N549" s="9" t="str">
        <f>IFERROR(__xludf.DUMMYFUNCTION("""COMPUTED_VALUE"""),"Plain")</f>
        <v>Plain</v>
      </c>
      <c r="O549" s="9" t="str">
        <f>IFERROR(__xludf.DUMMYFUNCTION("""COMPUTED_VALUE"""),"TFA")</f>
        <v>TFA</v>
      </c>
      <c r="P549" s="9">
        <f>IFERROR(__xludf.DUMMYFUNCTION("""COMPUTED_VALUE"""),220.0)</f>
        <v>220</v>
      </c>
      <c r="Q549" s="9" t="str">
        <f>IFERROR(__xludf.DUMMYFUNCTION("""COMPUTED_VALUE"""),"Q1'22")</f>
        <v>Q1'22</v>
      </c>
      <c r="R549" s="9">
        <f>IFERROR(__xludf.DUMMYFUNCTION("""COMPUTED_VALUE"""),2.588050847881387)</f>
        <v>2.588050848</v>
      </c>
    </row>
    <row r="550" ht="14.25" customHeight="1">
      <c r="A550" s="3" t="s">
        <v>24</v>
      </c>
      <c r="B550" s="3" t="s">
        <v>32</v>
      </c>
      <c r="C550" s="3" t="s">
        <v>35</v>
      </c>
      <c r="D550" s="3" t="s">
        <v>30</v>
      </c>
      <c r="E550" s="3" t="s">
        <v>29</v>
      </c>
      <c r="F550" s="3">
        <v>220.0</v>
      </c>
      <c r="G550" s="4" t="s">
        <v>16</v>
      </c>
      <c r="H550" s="3">
        <v>0.05969364839650745</v>
      </c>
      <c r="K550" s="9" t="str">
        <f>IFERROR(__xludf.DUMMYFUNCTION("""COMPUTED_VALUE"""),"TT Off Central")</f>
        <v>TT Off Central</v>
      </c>
      <c r="L550" s="9" t="str">
        <f>IFERROR(__xludf.DUMMYFUNCTION("""COMPUTED_VALUE"""),"Farmy")</f>
        <v>Farmy</v>
      </c>
      <c r="M550" s="9" t="str">
        <f>IFERROR(__xludf.DUMMYFUNCTION("""COMPUTED_VALUE"""),"Pro 100% Fresh")</f>
        <v>Pro 100% Fresh</v>
      </c>
      <c r="N550" s="9" t="str">
        <f>IFERROR(__xludf.DUMMYFUNCTION("""COMPUTED_VALUE"""),"Plain")</f>
        <v>Plain</v>
      </c>
      <c r="O550" s="9" t="str">
        <f>IFERROR(__xludf.DUMMYFUNCTION("""COMPUTED_VALUE"""),"TFA")</f>
        <v>TFA</v>
      </c>
      <c r="P550" s="9">
        <f>IFERROR(__xludf.DUMMYFUNCTION("""COMPUTED_VALUE"""),220.0)</f>
        <v>220</v>
      </c>
      <c r="Q550" s="9" t="str">
        <f>IFERROR(__xludf.DUMMYFUNCTION("""COMPUTED_VALUE"""),"Q2'22")</f>
        <v>Q2'22</v>
      </c>
      <c r="R550" s="9">
        <f>IFERROR(__xludf.DUMMYFUNCTION("""COMPUTED_VALUE"""),2.733373375934343)</f>
        <v>2.733373376</v>
      </c>
    </row>
    <row r="551" ht="14.25" customHeight="1">
      <c r="A551" s="3" t="s">
        <v>24</v>
      </c>
      <c r="B551" s="3" t="s">
        <v>32</v>
      </c>
      <c r="C551" s="3" t="s">
        <v>35</v>
      </c>
      <c r="D551" s="3" t="s">
        <v>30</v>
      </c>
      <c r="E551" s="3" t="s">
        <v>29</v>
      </c>
      <c r="F551" s="3">
        <v>220.0</v>
      </c>
      <c r="G551" s="4" t="s">
        <v>17</v>
      </c>
      <c r="H551" s="3">
        <v>0.06123194371117571</v>
      </c>
      <c r="K551" s="9" t="str">
        <f>IFERROR(__xludf.DUMMYFUNCTION("""COMPUTED_VALUE"""),"TT Off Central")</f>
        <v>TT Off Central</v>
      </c>
      <c r="L551" s="9" t="str">
        <f>IFERROR(__xludf.DUMMYFUNCTION("""COMPUTED_VALUE"""),"Farmy")</f>
        <v>Farmy</v>
      </c>
      <c r="M551" s="9" t="str">
        <f>IFERROR(__xludf.DUMMYFUNCTION("""COMPUTED_VALUE"""),"Pro 100% Fresh")</f>
        <v>Pro 100% Fresh</v>
      </c>
      <c r="N551" s="9" t="str">
        <f>IFERROR(__xludf.DUMMYFUNCTION("""COMPUTED_VALUE"""),"Plain")</f>
        <v>Plain</v>
      </c>
      <c r="O551" s="9" t="str">
        <f>IFERROR(__xludf.DUMMYFUNCTION("""COMPUTED_VALUE"""),"TFA")</f>
        <v>TFA</v>
      </c>
      <c r="P551" s="9">
        <f>IFERROR(__xludf.DUMMYFUNCTION("""COMPUTED_VALUE"""),220.0)</f>
        <v>220</v>
      </c>
      <c r="Q551" s="9" t="str">
        <f>IFERROR(__xludf.DUMMYFUNCTION("""COMPUTED_VALUE"""),"Q3'22")</f>
        <v>Q3'22</v>
      </c>
      <c r="R551" s="9">
        <f>IFERROR(__xludf.DUMMYFUNCTION("""COMPUTED_VALUE"""),2.8827576888085007)</f>
        <v>2.882757689</v>
      </c>
    </row>
    <row r="552" ht="14.25" customHeight="1">
      <c r="A552" s="3" t="s">
        <v>24</v>
      </c>
      <c r="B552" s="3" t="s">
        <v>32</v>
      </c>
      <c r="C552" s="3" t="s">
        <v>35</v>
      </c>
      <c r="D552" s="3" t="s">
        <v>30</v>
      </c>
      <c r="E552" s="3" t="s">
        <v>29</v>
      </c>
      <c r="F552" s="3">
        <v>220.0</v>
      </c>
      <c r="G552" s="4" t="s">
        <v>18</v>
      </c>
      <c r="H552" s="3">
        <v>0.08848554397037589</v>
      </c>
      <c r="K552" s="9" t="str">
        <f>IFERROR(__xludf.DUMMYFUNCTION("""COMPUTED_VALUE"""),"TT Off Central")</f>
        <v>TT Off Central</v>
      </c>
      <c r="L552" s="9" t="str">
        <f>IFERROR(__xludf.DUMMYFUNCTION("""COMPUTED_VALUE"""),"Farmy")</f>
        <v>Farmy</v>
      </c>
      <c r="M552" s="9" t="str">
        <f>IFERROR(__xludf.DUMMYFUNCTION("""COMPUTED_VALUE"""),"Pro 100% Fresh")</f>
        <v>Pro 100% Fresh</v>
      </c>
      <c r="N552" s="9" t="str">
        <f>IFERROR(__xludf.DUMMYFUNCTION("""COMPUTED_VALUE"""),"Plain")</f>
        <v>Plain</v>
      </c>
      <c r="O552" s="9" t="str">
        <f>IFERROR(__xludf.DUMMYFUNCTION("""COMPUTED_VALUE"""),"TFA")</f>
        <v>TFA</v>
      </c>
      <c r="P552" s="9">
        <f>IFERROR(__xludf.DUMMYFUNCTION("""COMPUTED_VALUE"""),220.0)</f>
        <v>220</v>
      </c>
      <c r="Q552" s="9" t="str">
        <f>IFERROR(__xludf.DUMMYFUNCTION("""COMPUTED_VALUE"""),"Q4'22")</f>
        <v>Q4'22</v>
      </c>
      <c r="R552" s="9">
        <f>IFERROR(__xludf.DUMMYFUNCTION("""COMPUTED_VALUE"""),2.5837130572834646)</f>
        <v>2.583713057</v>
      </c>
    </row>
    <row r="553" ht="14.25" customHeight="1">
      <c r="A553" s="3" t="s">
        <v>24</v>
      </c>
      <c r="B553" s="3" t="s">
        <v>32</v>
      </c>
      <c r="C553" s="3" t="s">
        <v>35</v>
      </c>
      <c r="D553" s="3" t="s">
        <v>30</v>
      </c>
      <c r="E553" s="3" t="s">
        <v>29</v>
      </c>
      <c r="F553" s="3">
        <v>220.0</v>
      </c>
      <c r="G553" s="4" t="s">
        <v>19</v>
      </c>
      <c r="H553" s="3">
        <v>0.031883518597100334</v>
      </c>
      <c r="K553" s="9" t="str">
        <f>IFERROR(__xludf.DUMMYFUNCTION("""COMPUTED_VALUE"""),"TT Off Central")</f>
        <v>TT Off Central</v>
      </c>
      <c r="L553" s="9" t="str">
        <f>IFERROR(__xludf.DUMMYFUNCTION("""COMPUTED_VALUE"""),"Farmy")</f>
        <v>Farmy</v>
      </c>
      <c r="M553" s="9" t="str">
        <f>IFERROR(__xludf.DUMMYFUNCTION("""COMPUTED_VALUE"""),"Pro 100% Fresh")</f>
        <v>Pro 100% Fresh</v>
      </c>
      <c r="N553" s="9" t="str">
        <f>IFERROR(__xludf.DUMMYFUNCTION("""COMPUTED_VALUE"""),"Plain")</f>
        <v>Plain</v>
      </c>
      <c r="O553" s="9" t="str">
        <f>IFERROR(__xludf.DUMMYFUNCTION("""COMPUTED_VALUE"""),"TFA")</f>
        <v>TFA</v>
      </c>
      <c r="P553" s="9">
        <f>IFERROR(__xludf.DUMMYFUNCTION("""COMPUTED_VALUE"""),220.0)</f>
        <v>220</v>
      </c>
      <c r="Q553" s="9" t="str">
        <f>IFERROR(__xludf.DUMMYFUNCTION("""COMPUTED_VALUE"""),"Q1'23")</f>
        <v>Q1'23</v>
      </c>
      <c r="R553" s="9">
        <f>IFERROR(__xludf.DUMMYFUNCTION("""COMPUTED_VALUE"""),3.1788997722506465)</f>
        <v>3.178899772</v>
      </c>
    </row>
    <row r="554" ht="14.25" customHeight="1">
      <c r="A554" s="3" t="s">
        <v>24</v>
      </c>
      <c r="B554" s="3" t="s">
        <v>32</v>
      </c>
      <c r="C554" s="3" t="s">
        <v>35</v>
      </c>
      <c r="D554" s="3" t="s">
        <v>30</v>
      </c>
      <c r="E554" s="3" t="s">
        <v>29</v>
      </c>
      <c r="F554" s="3">
        <v>220.0</v>
      </c>
      <c r="G554" s="4" t="s">
        <v>20</v>
      </c>
      <c r="H554" s="3">
        <v>0.025621392705111337</v>
      </c>
      <c r="K554" s="9" t="str">
        <f>IFERROR(__xludf.DUMMYFUNCTION("""COMPUTED_VALUE"""),"TT Off Central")</f>
        <v>TT Off Central</v>
      </c>
      <c r="L554" s="9" t="str">
        <f>IFERROR(__xludf.DUMMYFUNCTION("""COMPUTED_VALUE"""),"Farmy")</f>
        <v>Farmy</v>
      </c>
      <c r="M554" s="9" t="str">
        <f>IFERROR(__xludf.DUMMYFUNCTION("""COMPUTED_VALUE"""),"Pro 100% Fresh")</f>
        <v>Pro 100% Fresh</v>
      </c>
      <c r="N554" s="9" t="str">
        <f>IFERROR(__xludf.DUMMYFUNCTION("""COMPUTED_VALUE"""),"Plain")</f>
        <v>Plain</v>
      </c>
      <c r="O554" s="9" t="str">
        <f>IFERROR(__xludf.DUMMYFUNCTION("""COMPUTED_VALUE"""),"TFA")</f>
        <v>TFA</v>
      </c>
      <c r="P554" s="9">
        <f>IFERROR(__xludf.DUMMYFUNCTION("""COMPUTED_VALUE"""),220.0)</f>
        <v>220</v>
      </c>
      <c r="Q554" s="9" t="str">
        <f>IFERROR(__xludf.DUMMYFUNCTION("""COMPUTED_VALUE"""),"Q2'23")</f>
        <v>Q2'23</v>
      </c>
      <c r="R554" s="9">
        <f>IFERROR(__xludf.DUMMYFUNCTION("""COMPUTED_VALUE"""),3.349330742936363)</f>
        <v>3.349330743</v>
      </c>
    </row>
    <row r="555" ht="14.25" customHeight="1">
      <c r="A555" s="3" t="s">
        <v>24</v>
      </c>
      <c r="B555" s="3" t="s">
        <v>32</v>
      </c>
      <c r="C555" s="3" t="s">
        <v>35</v>
      </c>
      <c r="D555" s="3" t="s">
        <v>30</v>
      </c>
      <c r="E555" s="3" t="s">
        <v>29</v>
      </c>
      <c r="F555" s="3">
        <v>220.0</v>
      </c>
      <c r="G555" s="4" t="s">
        <v>21</v>
      </c>
      <c r="H555" s="3">
        <v>0.027273794155852907</v>
      </c>
      <c r="K555" s="9" t="str">
        <f>IFERROR(__xludf.DUMMYFUNCTION("""COMPUTED_VALUE"""),"TT Off Central")</f>
        <v>TT Off Central</v>
      </c>
      <c r="L555" s="9" t="str">
        <f>IFERROR(__xludf.DUMMYFUNCTION("""COMPUTED_VALUE"""),"Farmy")</f>
        <v>Farmy</v>
      </c>
      <c r="M555" s="9" t="str">
        <f>IFERROR(__xludf.DUMMYFUNCTION("""COMPUTED_VALUE"""),"Pro 100% Fresh")</f>
        <v>Pro 100% Fresh</v>
      </c>
      <c r="N555" s="9" t="str">
        <f>IFERROR(__xludf.DUMMYFUNCTION("""COMPUTED_VALUE"""),"Plain")</f>
        <v>Plain</v>
      </c>
      <c r="O555" s="9" t="str">
        <f>IFERROR(__xludf.DUMMYFUNCTION("""COMPUTED_VALUE"""),"TFA")</f>
        <v>TFA</v>
      </c>
      <c r="P555" s="9">
        <f>IFERROR(__xludf.DUMMYFUNCTION("""COMPUTED_VALUE"""),220.0)</f>
        <v>220</v>
      </c>
      <c r="Q555" s="9" t="str">
        <f>IFERROR(__xludf.DUMMYFUNCTION("""COMPUTED_VALUE"""),"Q3'23")</f>
        <v>Q3'23</v>
      </c>
      <c r="R555" s="9">
        <f>IFERROR(__xludf.DUMMYFUNCTION("""COMPUTED_VALUE"""),2.61062772171062)</f>
        <v>2.610627722</v>
      </c>
    </row>
    <row r="556" ht="14.25" customHeight="1">
      <c r="A556" s="3" t="s">
        <v>24</v>
      </c>
      <c r="B556" s="3" t="s">
        <v>32</v>
      </c>
      <c r="C556" s="3" t="s">
        <v>35</v>
      </c>
      <c r="D556" s="3" t="s">
        <v>30</v>
      </c>
      <c r="E556" s="3" t="s">
        <v>29</v>
      </c>
      <c r="F556" s="3">
        <v>220.0</v>
      </c>
      <c r="G556" s="4" t="s">
        <v>22</v>
      </c>
      <c r="H556" s="3">
        <v>0.04719631449938813</v>
      </c>
      <c r="K556" s="9" t="str">
        <f>IFERROR(__xludf.DUMMYFUNCTION("""COMPUTED_VALUE"""),"TT Off Central")</f>
        <v>TT Off Central</v>
      </c>
      <c r="L556" s="9" t="str">
        <f>IFERROR(__xludf.DUMMYFUNCTION("""COMPUTED_VALUE"""),"Farmy")</f>
        <v>Farmy</v>
      </c>
      <c r="M556" s="9" t="str">
        <f>IFERROR(__xludf.DUMMYFUNCTION("""COMPUTED_VALUE"""),"Pro 100% Fresh")</f>
        <v>Pro 100% Fresh</v>
      </c>
      <c r="N556" s="9" t="str">
        <f>IFERROR(__xludf.DUMMYFUNCTION("""COMPUTED_VALUE"""),"Plain")</f>
        <v>Plain</v>
      </c>
      <c r="O556" s="9" t="str">
        <f>IFERROR(__xludf.DUMMYFUNCTION("""COMPUTED_VALUE"""),"TFA")</f>
        <v>TFA</v>
      </c>
      <c r="P556" s="9">
        <f>IFERROR(__xludf.DUMMYFUNCTION("""COMPUTED_VALUE"""),220.0)</f>
        <v>220</v>
      </c>
      <c r="Q556" s="9" t="str">
        <f>IFERROR(__xludf.DUMMYFUNCTION("""COMPUTED_VALUE"""),"Q4'23")</f>
        <v>Q4'23</v>
      </c>
      <c r="R556" s="9">
        <f>IFERROR(__xludf.DUMMYFUNCTION("""COMPUTED_VALUE"""),1.5734613503599129)</f>
        <v>1.57346135</v>
      </c>
    </row>
    <row r="557" ht="14.25" customHeight="1">
      <c r="A557" s="3" t="s">
        <v>24</v>
      </c>
      <c r="B557" s="3" t="s">
        <v>41</v>
      </c>
      <c r="C557" s="3" t="s">
        <v>42</v>
      </c>
      <c r="D557" s="3" t="s">
        <v>37</v>
      </c>
      <c r="E557" s="3" t="s">
        <v>43</v>
      </c>
      <c r="F557" s="3">
        <v>237.0</v>
      </c>
      <c r="G557" s="4" t="s">
        <v>15</v>
      </c>
      <c r="H557" s="3">
        <v>0.3309778401443381</v>
      </c>
      <c r="K557" s="9" t="str">
        <f>IFERROR(__xludf.DUMMYFUNCTION("""COMPUTED_VALUE"""),"TT Off Central")</f>
        <v>TT Off Central</v>
      </c>
      <c r="L557" s="9" t="str">
        <f>IFERROR(__xludf.DUMMYFUNCTION("""COMPUTED_VALUE"""),"Wonderland")</f>
        <v>Wonderland</v>
      </c>
      <c r="M557" s="9" t="str">
        <f>IFERROR(__xludf.DUMMYFUNCTION("""COMPUTED_VALUE"""),"Mina Organic")</f>
        <v>Mina Organic</v>
      </c>
      <c r="N557" s="9" t="str">
        <f>IFERROR(__xludf.DUMMYFUNCTION("""COMPUTED_VALUE"""),"Less Sugar")</f>
        <v>Less Sugar</v>
      </c>
      <c r="O557" s="9" t="str">
        <f>IFERROR(__xludf.DUMMYFUNCTION("""COMPUTED_VALUE"""),"PLBT")</f>
        <v>PLBT</v>
      </c>
      <c r="P557" s="9">
        <f>IFERROR(__xludf.DUMMYFUNCTION("""COMPUTED_VALUE"""),237.0)</f>
        <v>237</v>
      </c>
      <c r="Q557" s="9" t="str">
        <f>IFERROR(__xludf.DUMMYFUNCTION("""COMPUTED_VALUE"""),"Q1'22")</f>
        <v>Q1'22</v>
      </c>
      <c r="R557" s="9">
        <f>IFERROR(__xludf.DUMMYFUNCTION("""COMPUTED_VALUE"""),0.8430504151985769)</f>
        <v>0.8430504152</v>
      </c>
    </row>
    <row r="558" ht="14.25" customHeight="1">
      <c r="A558" s="3" t="s">
        <v>24</v>
      </c>
      <c r="B558" s="3" t="s">
        <v>41</v>
      </c>
      <c r="C558" s="3" t="s">
        <v>42</v>
      </c>
      <c r="D558" s="3" t="s">
        <v>37</v>
      </c>
      <c r="E558" s="3" t="s">
        <v>43</v>
      </c>
      <c r="F558" s="3">
        <v>237.0</v>
      </c>
      <c r="G558" s="4" t="s">
        <v>16</v>
      </c>
      <c r="H558" s="3">
        <v>0.37266011755029865</v>
      </c>
      <c r="K558" s="9" t="str">
        <f>IFERROR(__xludf.DUMMYFUNCTION("""COMPUTED_VALUE"""),"TT Off Central")</f>
        <v>TT Off Central</v>
      </c>
      <c r="L558" s="9" t="str">
        <f>IFERROR(__xludf.DUMMYFUNCTION("""COMPUTED_VALUE"""),"Wonderland")</f>
        <v>Wonderland</v>
      </c>
      <c r="M558" s="9" t="str">
        <f>IFERROR(__xludf.DUMMYFUNCTION("""COMPUTED_VALUE"""),"Mina Organic")</f>
        <v>Mina Organic</v>
      </c>
      <c r="N558" s="9" t="str">
        <f>IFERROR(__xludf.DUMMYFUNCTION("""COMPUTED_VALUE"""),"Less Sugar")</f>
        <v>Less Sugar</v>
      </c>
      <c r="O558" s="9" t="str">
        <f>IFERROR(__xludf.DUMMYFUNCTION("""COMPUTED_VALUE"""),"PLBT")</f>
        <v>PLBT</v>
      </c>
      <c r="P558" s="9">
        <f>IFERROR(__xludf.DUMMYFUNCTION("""COMPUTED_VALUE"""),237.0)</f>
        <v>237</v>
      </c>
      <c r="Q558" s="9" t="str">
        <f>IFERROR(__xludf.DUMMYFUNCTION("""COMPUTED_VALUE"""),"Q2'22")</f>
        <v>Q2'22</v>
      </c>
      <c r="R558" s="9">
        <f>IFERROR(__xludf.DUMMYFUNCTION("""COMPUTED_VALUE"""),1.4901128411485962)</f>
        <v>1.490112841</v>
      </c>
    </row>
    <row r="559" ht="14.25" customHeight="1">
      <c r="A559" s="3" t="s">
        <v>24</v>
      </c>
      <c r="B559" s="3" t="s">
        <v>41</v>
      </c>
      <c r="C559" s="3" t="s">
        <v>42</v>
      </c>
      <c r="D559" s="3" t="s">
        <v>37</v>
      </c>
      <c r="E559" s="3" t="s">
        <v>43</v>
      </c>
      <c r="F559" s="3">
        <v>237.0</v>
      </c>
      <c r="G559" s="4" t="s">
        <v>17</v>
      </c>
      <c r="H559" s="3">
        <v>0.3562367149351081</v>
      </c>
      <c r="K559" s="9" t="str">
        <f>IFERROR(__xludf.DUMMYFUNCTION("""COMPUTED_VALUE"""),"TT Off Central")</f>
        <v>TT Off Central</v>
      </c>
      <c r="L559" s="9" t="str">
        <f>IFERROR(__xludf.DUMMYFUNCTION("""COMPUTED_VALUE"""),"Wonderland")</f>
        <v>Wonderland</v>
      </c>
      <c r="M559" s="9" t="str">
        <f>IFERROR(__xludf.DUMMYFUNCTION("""COMPUTED_VALUE"""),"Mina Organic")</f>
        <v>Mina Organic</v>
      </c>
      <c r="N559" s="9" t="str">
        <f>IFERROR(__xludf.DUMMYFUNCTION("""COMPUTED_VALUE"""),"Less Sugar")</f>
        <v>Less Sugar</v>
      </c>
      <c r="O559" s="9" t="str">
        <f>IFERROR(__xludf.DUMMYFUNCTION("""COMPUTED_VALUE"""),"PLBT")</f>
        <v>PLBT</v>
      </c>
      <c r="P559" s="9">
        <f>IFERROR(__xludf.DUMMYFUNCTION("""COMPUTED_VALUE"""),237.0)</f>
        <v>237</v>
      </c>
      <c r="Q559" s="9" t="str">
        <f>IFERROR(__xludf.DUMMYFUNCTION("""COMPUTED_VALUE"""),"Q3'22")</f>
        <v>Q3'22</v>
      </c>
      <c r="R559" s="9">
        <f>IFERROR(__xludf.DUMMYFUNCTION("""COMPUTED_VALUE"""),1.1861778176511637)</f>
        <v>1.186177818</v>
      </c>
    </row>
    <row r="560" ht="14.25" customHeight="1">
      <c r="A560" s="3" t="s">
        <v>24</v>
      </c>
      <c r="B560" s="3" t="s">
        <v>41</v>
      </c>
      <c r="C560" s="3" t="s">
        <v>42</v>
      </c>
      <c r="D560" s="3" t="s">
        <v>37</v>
      </c>
      <c r="E560" s="3" t="s">
        <v>43</v>
      </c>
      <c r="F560" s="3">
        <v>237.0</v>
      </c>
      <c r="G560" s="4" t="s">
        <v>18</v>
      </c>
      <c r="H560" s="3">
        <v>0.3642776911854965</v>
      </c>
      <c r="K560" s="9" t="str">
        <f>IFERROR(__xludf.DUMMYFUNCTION("""COMPUTED_VALUE"""),"TT Off Central")</f>
        <v>TT Off Central</v>
      </c>
      <c r="L560" s="9" t="str">
        <f>IFERROR(__xludf.DUMMYFUNCTION("""COMPUTED_VALUE"""),"Wonderland")</f>
        <v>Wonderland</v>
      </c>
      <c r="M560" s="9" t="str">
        <f>IFERROR(__xludf.DUMMYFUNCTION("""COMPUTED_VALUE"""),"Mina Organic")</f>
        <v>Mina Organic</v>
      </c>
      <c r="N560" s="9" t="str">
        <f>IFERROR(__xludf.DUMMYFUNCTION("""COMPUTED_VALUE"""),"Less Sugar")</f>
        <v>Less Sugar</v>
      </c>
      <c r="O560" s="9" t="str">
        <f>IFERROR(__xludf.DUMMYFUNCTION("""COMPUTED_VALUE"""),"PLBT")</f>
        <v>PLBT</v>
      </c>
      <c r="P560" s="9">
        <f>IFERROR(__xludf.DUMMYFUNCTION("""COMPUTED_VALUE"""),237.0)</f>
        <v>237</v>
      </c>
      <c r="Q560" s="9" t="str">
        <f>IFERROR(__xludf.DUMMYFUNCTION("""COMPUTED_VALUE"""),"Q4'22")</f>
        <v>Q4'22</v>
      </c>
      <c r="R560" s="9">
        <f>IFERROR(__xludf.DUMMYFUNCTION("""COMPUTED_VALUE"""),1.380456812588912)</f>
        <v>1.380456813</v>
      </c>
    </row>
    <row r="561" ht="14.25" customHeight="1">
      <c r="A561" s="3" t="s">
        <v>24</v>
      </c>
      <c r="B561" s="3" t="s">
        <v>41</v>
      </c>
      <c r="C561" s="3" t="s">
        <v>42</v>
      </c>
      <c r="D561" s="3" t="s">
        <v>37</v>
      </c>
      <c r="E561" s="3" t="s">
        <v>43</v>
      </c>
      <c r="F561" s="3">
        <v>237.0</v>
      </c>
      <c r="G561" s="4" t="s">
        <v>19</v>
      </c>
      <c r="H561" s="3">
        <v>0.3765290704695357</v>
      </c>
      <c r="K561" s="9" t="str">
        <f>IFERROR(__xludf.DUMMYFUNCTION("""COMPUTED_VALUE"""),"TT Off Central")</f>
        <v>TT Off Central</v>
      </c>
      <c r="L561" s="9" t="str">
        <f>IFERROR(__xludf.DUMMYFUNCTION("""COMPUTED_VALUE"""),"Wonderland")</f>
        <v>Wonderland</v>
      </c>
      <c r="M561" s="9" t="str">
        <f>IFERROR(__xludf.DUMMYFUNCTION("""COMPUTED_VALUE"""),"Mina Organic")</f>
        <v>Mina Organic</v>
      </c>
      <c r="N561" s="9" t="str">
        <f>IFERROR(__xludf.DUMMYFUNCTION("""COMPUTED_VALUE"""),"Less Sugar")</f>
        <v>Less Sugar</v>
      </c>
      <c r="O561" s="9" t="str">
        <f>IFERROR(__xludf.DUMMYFUNCTION("""COMPUTED_VALUE"""),"PLBT")</f>
        <v>PLBT</v>
      </c>
      <c r="P561" s="9">
        <f>IFERROR(__xludf.DUMMYFUNCTION("""COMPUTED_VALUE"""),237.0)</f>
        <v>237</v>
      </c>
      <c r="Q561" s="9" t="str">
        <f>IFERROR(__xludf.DUMMYFUNCTION("""COMPUTED_VALUE"""),"Q1'23")</f>
        <v>Q1'23</v>
      </c>
      <c r="R561" s="9">
        <f>IFERROR(__xludf.DUMMYFUNCTION("""COMPUTED_VALUE"""),1.2668334475479806)</f>
        <v>1.266833448</v>
      </c>
    </row>
    <row r="562" ht="14.25" customHeight="1">
      <c r="A562" s="3" t="s">
        <v>24</v>
      </c>
      <c r="B562" s="3" t="s">
        <v>41</v>
      </c>
      <c r="C562" s="3" t="s">
        <v>42</v>
      </c>
      <c r="D562" s="3" t="s">
        <v>37</v>
      </c>
      <c r="E562" s="3" t="s">
        <v>43</v>
      </c>
      <c r="F562" s="3">
        <v>237.0</v>
      </c>
      <c r="G562" s="4" t="s">
        <v>20</v>
      </c>
      <c r="H562" s="3">
        <v>0.6892124596494575</v>
      </c>
      <c r="K562" s="9" t="str">
        <f>IFERROR(__xludf.DUMMYFUNCTION("""COMPUTED_VALUE"""),"TT Off Central")</f>
        <v>TT Off Central</v>
      </c>
      <c r="L562" s="9" t="str">
        <f>IFERROR(__xludf.DUMMYFUNCTION("""COMPUTED_VALUE"""),"Wonderland")</f>
        <v>Wonderland</v>
      </c>
      <c r="M562" s="9" t="str">
        <f>IFERROR(__xludf.DUMMYFUNCTION("""COMPUTED_VALUE"""),"Mina Organic")</f>
        <v>Mina Organic</v>
      </c>
      <c r="N562" s="9" t="str">
        <f>IFERROR(__xludf.DUMMYFUNCTION("""COMPUTED_VALUE"""),"Less Sugar")</f>
        <v>Less Sugar</v>
      </c>
      <c r="O562" s="9" t="str">
        <f>IFERROR(__xludf.DUMMYFUNCTION("""COMPUTED_VALUE"""),"PLBT")</f>
        <v>PLBT</v>
      </c>
      <c r="P562" s="9">
        <f>IFERROR(__xludf.DUMMYFUNCTION("""COMPUTED_VALUE"""),237.0)</f>
        <v>237</v>
      </c>
      <c r="Q562" s="9" t="str">
        <f>IFERROR(__xludf.DUMMYFUNCTION("""COMPUTED_VALUE"""),"Q2'23")</f>
        <v>Q2'23</v>
      </c>
      <c r="R562" s="9">
        <f>IFERROR(__xludf.DUMMYFUNCTION("""COMPUTED_VALUE"""),1.1506704800021401)</f>
        <v>1.15067048</v>
      </c>
    </row>
    <row r="563" ht="14.25" customHeight="1">
      <c r="A563" s="3" t="s">
        <v>24</v>
      </c>
      <c r="B563" s="3" t="s">
        <v>41</v>
      </c>
      <c r="C563" s="3" t="s">
        <v>42</v>
      </c>
      <c r="D563" s="3" t="s">
        <v>37</v>
      </c>
      <c r="E563" s="3" t="s">
        <v>43</v>
      </c>
      <c r="F563" s="3">
        <v>237.0</v>
      </c>
      <c r="G563" s="4" t="s">
        <v>21</v>
      </c>
      <c r="H563" s="3">
        <v>0.7731331931245273</v>
      </c>
      <c r="K563" s="9" t="str">
        <f>IFERROR(__xludf.DUMMYFUNCTION("""COMPUTED_VALUE"""),"TT Off Central")</f>
        <v>TT Off Central</v>
      </c>
      <c r="L563" s="9" t="str">
        <f>IFERROR(__xludf.DUMMYFUNCTION("""COMPUTED_VALUE"""),"Wonderland")</f>
        <v>Wonderland</v>
      </c>
      <c r="M563" s="9" t="str">
        <f>IFERROR(__xludf.DUMMYFUNCTION("""COMPUTED_VALUE"""),"Mina Organic")</f>
        <v>Mina Organic</v>
      </c>
      <c r="N563" s="9" t="str">
        <f>IFERROR(__xludf.DUMMYFUNCTION("""COMPUTED_VALUE"""),"Less Sugar")</f>
        <v>Less Sugar</v>
      </c>
      <c r="O563" s="9" t="str">
        <f>IFERROR(__xludf.DUMMYFUNCTION("""COMPUTED_VALUE"""),"PLBT")</f>
        <v>PLBT</v>
      </c>
      <c r="P563" s="9">
        <f>IFERROR(__xludf.DUMMYFUNCTION("""COMPUTED_VALUE"""),237.0)</f>
        <v>237</v>
      </c>
      <c r="Q563" s="9" t="str">
        <f>IFERROR(__xludf.DUMMYFUNCTION("""COMPUTED_VALUE"""),"Q3'23")</f>
        <v>Q3'23</v>
      </c>
      <c r="R563" s="9">
        <f>IFERROR(__xludf.DUMMYFUNCTION("""COMPUTED_VALUE"""),1.3729534957038871)</f>
        <v>1.372953496</v>
      </c>
    </row>
    <row r="564" ht="14.25" customHeight="1">
      <c r="A564" s="3" t="s">
        <v>24</v>
      </c>
      <c r="B564" s="3" t="s">
        <v>41</v>
      </c>
      <c r="C564" s="3" t="s">
        <v>42</v>
      </c>
      <c r="D564" s="3" t="s">
        <v>37</v>
      </c>
      <c r="E564" s="3" t="s">
        <v>43</v>
      </c>
      <c r="F564" s="3">
        <v>237.0</v>
      </c>
      <c r="G564" s="4" t="s">
        <v>22</v>
      </c>
      <c r="H564" s="3">
        <v>0.6481712008510161</v>
      </c>
      <c r="K564" s="9" t="str">
        <f>IFERROR(__xludf.DUMMYFUNCTION("""COMPUTED_VALUE"""),"TT Off Central")</f>
        <v>TT Off Central</v>
      </c>
      <c r="L564" s="9" t="str">
        <f>IFERROR(__xludf.DUMMYFUNCTION("""COMPUTED_VALUE"""),"Wonderland")</f>
        <v>Wonderland</v>
      </c>
      <c r="M564" s="9" t="str">
        <f>IFERROR(__xludf.DUMMYFUNCTION("""COMPUTED_VALUE"""),"Mina Organic")</f>
        <v>Mina Organic</v>
      </c>
      <c r="N564" s="9" t="str">
        <f>IFERROR(__xludf.DUMMYFUNCTION("""COMPUTED_VALUE"""),"Less Sugar")</f>
        <v>Less Sugar</v>
      </c>
      <c r="O564" s="9" t="str">
        <f>IFERROR(__xludf.DUMMYFUNCTION("""COMPUTED_VALUE"""),"PLBT")</f>
        <v>PLBT</v>
      </c>
      <c r="P564" s="9">
        <f>IFERROR(__xludf.DUMMYFUNCTION("""COMPUTED_VALUE"""),237.0)</f>
        <v>237</v>
      </c>
      <c r="Q564" s="9" t="str">
        <f>IFERROR(__xludf.DUMMYFUNCTION("""COMPUTED_VALUE"""),"Q4'23")</f>
        <v>Q4'23</v>
      </c>
      <c r="R564" s="9">
        <f>IFERROR(__xludf.DUMMYFUNCTION("""COMPUTED_VALUE"""),2.0606446662029305)</f>
        <v>2.060644666</v>
      </c>
    </row>
    <row r="565" ht="14.25" customHeight="1">
      <c r="A565" s="3" t="s">
        <v>24</v>
      </c>
      <c r="B565" s="3" t="s">
        <v>41</v>
      </c>
      <c r="C565" s="3" t="s">
        <v>44</v>
      </c>
      <c r="D565" s="3" t="s">
        <v>34</v>
      </c>
      <c r="E565" s="3" t="s">
        <v>43</v>
      </c>
      <c r="F565" s="3">
        <v>237.0</v>
      </c>
      <c r="G565" s="4" t="s">
        <v>15</v>
      </c>
      <c r="H565" s="3">
        <v>0.7688085585193623</v>
      </c>
      <c r="K565" s="9" t="str">
        <f>IFERROR(__xludf.DUMMYFUNCTION("""COMPUTED_VALUE"""),"TT Off Central")</f>
        <v>TT Off Central</v>
      </c>
      <c r="L565" s="9" t="str">
        <f>IFERROR(__xludf.DUMMYFUNCTION("""COMPUTED_VALUE"""),"Wonderland")</f>
        <v>Wonderland</v>
      </c>
      <c r="M565" s="9" t="str">
        <f>IFERROR(__xludf.DUMMYFUNCTION("""COMPUTED_VALUE"""),"Happy Kids")</f>
        <v>Happy Kids</v>
      </c>
      <c r="N565" s="9" t="str">
        <f>IFERROR(__xludf.DUMMYFUNCTION("""COMPUTED_VALUE"""),"Vanilla")</f>
        <v>Vanilla</v>
      </c>
      <c r="O565" s="9" t="str">
        <f>IFERROR(__xludf.DUMMYFUNCTION("""COMPUTED_VALUE"""),"PLBT")</f>
        <v>PLBT</v>
      </c>
      <c r="P565" s="9">
        <f>IFERROR(__xludf.DUMMYFUNCTION("""COMPUTED_VALUE"""),237.0)</f>
        <v>237</v>
      </c>
      <c r="Q565" s="9" t="str">
        <f>IFERROR(__xludf.DUMMYFUNCTION("""COMPUTED_VALUE"""),"Q1'22")</f>
        <v>Q1'22</v>
      </c>
      <c r="R565" s="9">
        <f>IFERROR(__xludf.DUMMYFUNCTION("""COMPUTED_VALUE"""),2.3383126765826137)</f>
        <v>2.338312677</v>
      </c>
    </row>
    <row r="566" ht="14.25" customHeight="1">
      <c r="A566" s="3" t="s">
        <v>24</v>
      </c>
      <c r="B566" s="3" t="s">
        <v>41</v>
      </c>
      <c r="C566" s="3" t="s">
        <v>44</v>
      </c>
      <c r="D566" s="3" t="s">
        <v>34</v>
      </c>
      <c r="E566" s="3" t="s">
        <v>43</v>
      </c>
      <c r="F566" s="3">
        <v>237.0</v>
      </c>
      <c r="G566" s="4" t="s">
        <v>16</v>
      </c>
      <c r="H566" s="3">
        <v>1.0680361508475682</v>
      </c>
      <c r="K566" s="9" t="str">
        <f>IFERROR(__xludf.DUMMYFUNCTION("""COMPUTED_VALUE"""),"TT Off Central")</f>
        <v>TT Off Central</v>
      </c>
      <c r="L566" s="9" t="str">
        <f>IFERROR(__xludf.DUMMYFUNCTION("""COMPUTED_VALUE"""),"Wonderland")</f>
        <v>Wonderland</v>
      </c>
      <c r="M566" s="9" t="str">
        <f>IFERROR(__xludf.DUMMYFUNCTION("""COMPUTED_VALUE"""),"Happy Kids")</f>
        <v>Happy Kids</v>
      </c>
      <c r="N566" s="9" t="str">
        <f>IFERROR(__xludf.DUMMYFUNCTION("""COMPUTED_VALUE"""),"Vanilla")</f>
        <v>Vanilla</v>
      </c>
      <c r="O566" s="9" t="str">
        <f>IFERROR(__xludf.DUMMYFUNCTION("""COMPUTED_VALUE"""),"PLBT")</f>
        <v>PLBT</v>
      </c>
      <c r="P566" s="9">
        <f>IFERROR(__xludf.DUMMYFUNCTION("""COMPUTED_VALUE"""),237.0)</f>
        <v>237</v>
      </c>
      <c r="Q566" s="9" t="str">
        <f>IFERROR(__xludf.DUMMYFUNCTION("""COMPUTED_VALUE"""),"Q2'22")</f>
        <v>Q2'22</v>
      </c>
      <c r="R566" s="9">
        <f>IFERROR(__xludf.DUMMYFUNCTION("""COMPUTED_VALUE"""),2.3503273480781455)</f>
        <v>2.350327348</v>
      </c>
    </row>
    <row r="567" ht="14.25" customHeight="1">
      <c r="A567" s="3" t="s">
        <v>24</v>
      </c>
      <c r="B567" s="3" t="s">
        <v>41</v>
      </c>
      <c r="C567" s="3" t="s">
        <v>44</v>
      </c>
      <c r="D567" s="3" t="s">
        <v>34</v>
      </c>
      <c r="E567" s="3" t="s">
        <v>43</v>
      </c>
      <c r="F567" s="3">
        <v>237.0</v>
      </c>
      <c r="G567" s="4" t="s">
        <v>17</v>
      </c>
      <c r="H567" s="3">
        <v>1.1221940142355489</v>
      </c>
      <c r="K567" s="9" t="str">
        <f>IFERROR(__xludf.DUMMYFUNCTION("""COMPUTED_VALUE"""),"TT Off Central")</f>
        <v>TT Off Central</v>
      </c>
      <c r="L567" s="9" t="str">
        <f>IFERROR(__xludf.DUMMYFUNCTION("""COMPUTED_VALUE"""),"Wonderland")</f>
        <v>Wonderland</v>
      </c>
      <c r="M567" s="9" t="str">
        <f>IFERROR(__xludf.DUMMYFUNCTION("""COMPUTED_VALUE"""),"Happy Kids")</f>
        <v>Happy Kids</v>
      </c>
      <c r="N567" s="9" t="str">
        <f>IFERROR(__xludf.DUMMYFUNCTION("""COMPUTED_VALUE"""),"Vanilla")</f>
        <v>Vanilla</v>
      </c>
      <c r="O567" s="9" t="str">
        <f>IFERROR(__xludf.DUMMYFUNCTION("""COMPUTED_VALUE"""),"PLBT")</f>
        <v>PLBT</v>
      </c>
      <c r="P567" s="9">
        <f>IFERROR(__xludf.DUMMYFUNCTION("""COMPUTED_VALUE"""),237.0)</f>
        <v>237</v>
      </c>
      <c r="Q567" s="9" t="str">
        <f>IFERROR(__xludf.DUMMYFUNCTION("""COMPUTED_VALUE"""),"Q3'22")</f>
        <v>Q3'22</v>
      </c>
      <c r="R567" s="9">
        <f>IFERROR(__xludf.DUMMYFUNCTION("""COMPUTED_VALUE"""),2.797246189750978)</f>
        <v>2.79724619</v>
      </c>
    </row>
    <row r="568" ht="14.25" customHeight="1">
      <c r="A568" s="3" t="s">
        <v>24</v>
      </c>
      <c r="B568" s="3" t="s">
        <v>41</v>
      </c>
      <c r="C568" s="3" t="s">
        <v>44</v>
      </c>
      <c r="D568" s="3" t="s">
        <v>34</v>
      </c>
      <c r="E568" s="3" t="s">
        <v>43</v>
      </c>
      <c r="F568" s="3">
        <v>237.0</v>
      </c>
      <c r="G568" s="4" t="s">
        <v>18</v>
      </c>
      <c r="H568" s="3">
        <v>1.1330571882822469</v>
      </c>
      <c r="K568" s="9" t="str">
        <f>IFERROR(__xludf.DUMMYFUNCTION("""COMPUTED_VALUE"""),"TT Off Central")</f>
        <v>TT Off Central</v>
      </c>
      <c r="L568" s="9" t="str">
        <f>IFERROR(__xludf.DUMMYFUNCTION("""COMPUTED_VALUE"""),"Wonderland")</f>
        <v>Wonderland</v>
      </c>
      <c r="M568" s="9" t="str">
        <f>IFERROR(__xludf.DUMMYFUNCTION("""COMPUTED_VALUE"""),"Happy Kids")</f>
        <v>Happy Kids</v>
      </c>
      <c r="N568" s="9" t="str">
        <f>IFERROR(__xludf.DUMMYFUNCTION("""COMPUTED_VALUE"""),"Vanilla")</f>
        <v>Vanilla</v>
      </c>
      <c r="O568" s="9" t="str">
        <f>IFERROR(__xludf.DUMMYFUNCTION("""COMPUTED_VALUE"""),"PLBT")</f>
        <v>PLBT</v>
      </c>
      <c r="P568" s="9">
        <f>IFERROR(__xludf.DUMMYFUNCTION("""COMPUTED_VALUE"""),237.0)</f>
        <v>237</v>
      </c>
      <c r="Q568" s="9" t="str">
        <f>IFERROR(__xludf.DUMMYFUNCTION("""COMPUTED_VALUE"""),"Q4'22")</f>
        <v>Q4'22</v>
      </c>
      <c r="R568" s="9">
        <f>IFERROR(__xludf.DUMMYFUNCTION("""COMPUTED_VALUE"""),2.948583438037251)</f>
        <v>2.948583438</v>
      </c>
    </row>
    <row r="569" ht="14.25" customHeight="1">
      <c r="A569" s="3" t="s">
        <v>24</v>
      </c>
      <c r="B569" s="3" t="s">
        <v>41</v>
      </c>
      <c r="C569" s="3" t="s">
        <v>44</v>
      </c>
      <c r="D569" s="3" t="s">
        <v>34</v>
      </c>
      <c r="E569" s="3" t="s">
        <v>43</v>
      </c>
      <c r="F569" s="3">
        <v>237.0</v>
      </c>
      <c r="G569" s="4" t="s">
        <v>19</v>
      </c>
      <c r="H569" s="3">
        <v>1.2095964573975553</v>
      </c>
      <c r="K569" s="9" t="str">
        <f>IFERROR(__xludf.DUMMYFUNCTION("""COMPUTED_VALUE"""),"TT Off Central")</f>
        <v>TT Off Central</v>
      </c>
      <c r="L569" s="9" t="str">
        <f>IFERROR(__xludf.DUMMYFUNCTION("""COMPUTED_VALUE"""),"Wonderland")</f>
        <v>Wonderland</v>
      </c>
      <c r="M569" s="9" t="str">
        <f>IFERROR(__xludf.DUMMYFUNCTION("""COMPUTED_VALUE"""),"Happy Kids")</f>
        <v>Happy Kids</v>
      </c>
      <c r="N569" s="9" t="str">
        <f>IFERROR(__xludf.DUMMYFUNCTION("""COMPUTED_VALUE"""),"Vanilla")</f>
        <v>Vanilla</v>
      </c>
      <c r="O569" s="9" t="str">
        <f>IFERROR(__xludf.DUMMYFUNCTION("""COMPUTED_VALUE"""),"PLBT")</f>
        <v>PLBT</v>
      </c>
      <c r="P569" s="9">
        <f>IFERROR(__xludf.DUMMYFUNCTION("""COMPUTED_VALUE"""),237.0)</f>
        <v>237</v>
      </c>
      <c r="Q569" s="9" t="str">
        <f>IFERROR(__xludf.DUMMYFUNCTION("""COMPUTED_VALUE"""),"Q1'23")</f>
        <v>Q1'23</v>
      </c>
      <c r="R569" s="9">
        <f>IFERROR(__xludf.DUMMYFUNCTION("""COMPUTED_VALUE"""),3.1144706743204194)</f>
        <v>3.114470674</v>
      </c>
    </row>
    <row r="570" ht="14.25" customHeight="1">
      <c r="A570" s="3" t="s">
        <v>24</v>
      </c>
      <c r="B570" s="3" t="s">
        <v>41</v>
      </c>
      <c r="C570" s="3" t="s">
        <v>44</v>
      </c>
      <c r="D570" s="3" t="s">
        <v>34</v>
      </c>
      <c r="E570" s="3" t="s">
        <v>43</v>
      </c>
      <c r="F570" s="3">
        <v>237.0</v>
      </c>
      <c r="G570" s="4" t="s">
        <v>20</v>
      </c>
      <c r="H570" s="3">
        <v>1.3406146564311616</v>
      </c>
      <c r="K570" s="9" t="str">
        <f>IFERROR(__xludf.DUMMYFUNCTION("""COMPUTED_VALUE"""),"TT Off Central")</f>
        <v>TT Off Central</v>
      </c>
      <c r="L570" s="9" t="str">
        <f>IFERROR(__xludf.DUMMYFUNCTION("""COMPUTED_VALUE"""),"Wonderland")</f>
        <v>Wonderland</v>
      </c>
      <c r="M570" s="9" t="str">
        <f>IFERROR(__xludf.DUMMYFUNCTION("""COMPUTED_VALUE"""),"Happy Kids")</f>
        <v>Happy Kids</v>
      </c>
      <c r="N570" s="9" t="str">
        <f>IFERROR(__xludf.DUMMYFUNCTION("""COMPUTED_VALUE"""),"Vanilla")</f>
        <v>Vanilla</v>
      </c>
      <c r="O570" s="9" t="str">
        <f>IFERROR(__xludf.DUMMYFUNCTION("""COMPUTED_VALUE"""),"PLBT")</f>
        <v>PLBT</v>
      </c>
      <c r="P570" s="9">
        <f>IFERROR(__xludf.DUMMYFUNCTION("""COMPUTED_VALUE"""),237.0)</f>
        <v>237</v>
      </c>
      <c r="Q570" s="9" t="str">
        <f>IFERROR(__xludf.DUMMYFUNCTION("""COMPUTED_VALUE"""),"Q2'23")</f>
        <v>Q2'23</v>
      </c>
      <c r="R570" s="9">
        <f>IFERROR(__xludf.DUMMYFUNCTION("""COMPUTED_VALUE"""),3.346072915702268)</f>
        <v>3.346072916</v>
      </c>
    </row>
    <row r="571" ht="14.25" customHeight="1">
      <c r="A571" s="3" t="s">
        <v>24</v>
      </c>
      <c r="B571" s="3" t="s">
        <v>41</v>
      </c>
      <c r="C571" s="3" t="s">
        <v>44</v>
      </c>
      <c r="D571" s="3" t="s">
        <v>34</v>
      </c>
      <c r="E571" s="3" t="s">
        <v>43</v>
      </c>
      <c r="F571" s="3">
        <v>237.0</v>
      </c>
      <c r="G571" s="4" t="s">
        <v>21</v>
      </c>
      <c r="H571" s="3">
        <v>1.5815315060278272</v>
      </c>
      <c r="K571" s="9" t="str">
        <f>IFERROR(__xludf.DUMMYFUNCTION("""COMPUTED_VALUE"""),"TT Off Central")</f>
        <v>TT Off Central</v>
      </c>
      <c r="L571" s="9" t="str">
        <f>IFERROR(__xludf.DUMMYFUNCTION("""COMPUTED_VALUE"""),"Wonderland")</f>
        <v>Wonderland</v>
      </c>
      <c r="M571" s="9" t="str">
        <f>IFERROR(__xludf.DUMMYFUNCTION("""COMPUTED_VALUE"""),"Happy Kids")</f>
        <v>Happy Kids</v>
      </c>
      <c r="N571" s="9" t="str">
        <f>IFERROR(__xludf.DUMMYFUNCTION("""COMPUTED_VALUE"""),"Vanilla")</f>
        <v>Vanilla</v>
      </c>
      <c r="O571" s="9" t="str">
        <f>IFERROR(__xludf.DUMMYFUNCTION("""COMPUTED_VALUE"""),"PLBT")</f>
        <v>PLBT</v>
      </c>
      <c r="P571" s="9">
        <f>IFERROR(__xludf.DUMMYFUNCTION("""COMPUTED_VALUE"""),237.0)</f>
        <v>237</v>
      </c>
      <c r="Q571" s="9" t="str">
        <f>IFERROR(__xludf.DUMMYFUNCTION("""COMPUTED_VALUE"""),"Q3'23")</f>
        <v>Q3'23</v>
      </c>
      <c r="R571" s="9">
        <f>IFERROR(__xludf.DUMMYFUNCTION("""COMPUTED_VALUE"""),3.3186810895957084)</f>
        <v>3.31868109</v>
      </c>
    </row>
    <row r="572" ht="14.25" customHeight="1">
      <c r="A572" s="3" t="s">
        <v>24</v>
      </c>
      <c r="B572" s="3" t="s">
        <v>41</v>
      </c>
      <c r="C572" s="3" t="s">
        <v>44</v>
      </c>
      <c r="D572" s="3" t="s">
        <v>34</v>
      </c>
      <c r="E572" s="3" t="s">
        <v>43</v>
      </c>
      <c r="F572" s="3">
        <v>237.0</v>
      </c>
      <c r="G572" s="4" t="s">
        <v>22</v>
      </c>
      <c r="H572" s="3">
        <v>1.4667336641328805</v>
      </c>
      <c r="K572" s="9" t="str">
        <f>IFERROR(__xludf.DUMMYFUNCTION("""COMPUTED_VALUE"""),"TT Off Central")</f>
        <v>TT Off Central</v>
      </c>
      <c r="L572" s="9" t="str">
        <f>IFERROR(__xludf.DUMMYFUNCTION("""COMPUTED_VALUE"""),"Wonderland")</f>
        <v>Wonderland</v>
      </c>
      <c r="M572" s="9" t="str">
        <f>IFERROR(__xludf.DUMMYFUNCTION("""COMPUTED_VALUE"""),"Happy Kids")</f>
        <v>Happy Kids</v>
      </c>
      <c r="N572" s="9" t="str">
        <f>IFERROR(__xludf.DUMMYFUNCTION("""COMPUTED_VALUE"""),"Vanilla")</f>
        <v>Vanilla</v>
      </c>
      <c r="O572" s="9" t="str">
        <f>IFERROR(__xludf.DUMMYFUNCTION("""COMPUTED_VALUE"""),"PLBT")</f>
        <v>PLBT</v>
      </c>
      <c r="P572" s="9">
        <f>IFERROR(__xludf.DUMMYFUNCTION("""COMPUTED_VALUE"""),237.0)</f>
        <v>237</v>
      </c>
      <c r="Q572" s="9" t="str">
        <f>IFERROR(__xludf.DUMMYFUNCTION("""COMPUTED_VALUE"""),"Q4'23")</f>
        <v>Q4'23</v>
      </c>
      <c r="R572" s="9">
        <f>IFERROR(__xludf.DUMMYFUNCTION("""COMPUTED_VALUE"""),3.8799223721673104)</f>
        <v>3.879922372</v>
      </c>
    </row>
    <row r="573" ht="14.25" customHeight="1">
      <c r="A573" s="3" t="s">
        <v>25</v>
      </c>
      <c r="B573" s="3" t="s">
        <v>11</v>
      </c>
      <c r="C573" s="3" t="s">
        <v>27</v>
      </c>
      <c r="D573" s="3" t="s">
        <v>30</v>
      </c>
      <c r="E573" s="3" t="s">
        <v>14</v>
      </c>
      <c r="F573" s="3">
        <v>1000.0</v>
      </c>
      <c r="G573" s="4" t="s">
        <v>15</v>
      </c>
      <c r="H573" s="3">
        <v>0.20147318447950882</v>
      </c>
      <c r="K573" s="9" t="str">
        <f>IFERROR(__xludf.DUMMYFUNCTION("""COMPUTED_VALUE"""),"TT Off South")</f>
        <v>TT Off South</v>
      </c>
      <c r="L573" s="9" t="str">
        <f>IFERROR(__xludf.DUMMYFUNCTION("""COMPUTED_VALUE"""),"Elite")</f>
        <v>Elite</v>
      </c>
      <c r="M573" s="9" t="str">
        <f>IFERROR(__xludf.DUMMYFUNCTION("""COMPUTED_VALUE"""),"Unami Organic")</f>
        <v>Unami Organic</v>
      </c>
      <c r="N573" s="9" t="str">
        <f>IFERROR(__xludf.DUMMYFUNCTION("""COMPUTED_VALUE"""),"Plain")</f>
        <v>Plain</v>
      </c>
      <c r="O573" s="9" t="str">
        <f>IFERROR(__xludf.DUMMYFUNCTION("""COMPUTED_VALUE"""),"Carton")</f>
        <v>Carton</v>
      </c>
      <c r="P573" s="9">
        <f>IFERROR(__xludf.DUMMYFUNCTION("""COMPUTED_VALUE"""),1000.0)</f>
        <v>1000</v>
      </c>
      <c r="Q573" s="9" t="str">
        <f>IFERROR(__xludf.DUMMYFUNCTION("""COMPUTED_VALUE"""),"Q1'22")</f>
        <v>Q1'22</v>
      </c>
      <c r="R573" s="9">
        <f>IFERROR(__xludf.DUMMYFUNCTION("""COMPUTED_VALUE"""),0.7258999327806859)</f>
        <v>0.7258999328</v>
      </c>
    </row>
    <row r="574" ht="14.25" customHeight="1">
      <c r="A574" s="3" t="s">
        <v>25</v>
      </c>
      <c r="B574" s="3" t="s">
        <v>11</v>
      </c>
      <c r="C574" s="3" t="s">
        <v>27</v>
      </c>
      <c r="D574" s="3" t="s">
        <v>30</v>
      </c>
      <c r="E574" s="3" t="s">
        <v>14</v>
      </c>
      <c r="F574" s="3">
        <v>1000.0</v>
      </c>
      <c r="G574" s="4" t="s">
        <v>16</v>
      </c>
      <c r="H574" s="3">
        <v>0.2667511178225071</v>
      </c>
      <c r="K574" s="9" t="str">
        <f>IFERROR(__xludf.DUMMYFUNCTION("""COMPUTED_VALUE"""),"TT Off South")</f>
        <v>TT Off South</v>
      </c>
      <c r="L574" s="9" t="str">
        <f>IFERROR(__xludf.DUMMYFUNCTION("""COMPUTED_VALUE"""),"Elite")</f>
        <v>Elite</v>
      </c>
      <c r="M574" s="9" t="str">
        <f>IFERROR(__xludf.DUMMYFUNCTION("""COMPUTED_VALUE"""),"Unami Organic")</f>
        <v>Unami Organic</v>
      </c>
      <c r="N574" s="9" t="str">
        <f>IFERROR(__xludf.DUMMYFUNCTION("""COMPUTED_VALUE"""),"Plain")</f>
        <v>Plain</v>
      </c>
      <c r="O574" s="9" t="str">
        <f>IFERROR(__xludf.DUMMYFUNCTION("""COMPUTED_VALUE"""),"Carton")</f>
        <v>Carton</v>
      </c>
      <c r="P574" s="9">
        <f>IFERROR(__xludf.DUMMYFUNCTION("""COMPUTED_VALUE"""),1000.0)</f>
        <v>1000</v>
      </c>
      <c r="Q574" s="9" t="str">
        <f>IFERROR(__xludf.DUMMYFUNCTION("""COMPUTED_VALUE"""),"Q2'22")</f>
        <v>Q2'22</v>
      </c>
      <c r="R574" s="9">
        <f>IFERROR(__xludf.DUMMYFUNCTION("""COMPUTED_VALUE"""),0.7636107203510838)</f>
        <v>0.7636107204</v>
      </c>
    </row>
    <row r="575" ht="14.25" customHeight="1">
      <c r="A575" s="3" t="s">
        <v>25</v>
      </c>
      <c r="B575" s="3" t="s">
        <v>11</v>
      </c>
      <c r="C575" s="3" t="s">
        <v>27</v>
      </c>
      <c r="D575" s="3" t="s">
        <v>30</v>
      </c>
      <c r="E575" s="3" t="s">
        <v>14</v>
      </c>
      <c r="F575" s="3">
        <v>1000.0</v>
      </c>
      <c r="G575" s="4" t="s">
        <v>17</v>
      </c>
      <c r="H575" s="3">
        <v>0.2599665834445598</v>
      </c>
      <c r="K575" s="9" t="str">
        <f>IFERROR(__xludf.DUMMYFUNCTION("""COMPUTED_VALUE"""),"TT Off South")</f>
        <v>TT Off South</v>
      </c>
      <c r="L575" s="9" t="str">
        <f>IFERROR(__xludf.DUMMYFUNCTION("""COMPUTED_VALUE"""),"Elite")</f>
        <v>Elite</v>
      </c>
      <c r="M575" s="9" t="str">
        <f>IFERROR(__xludf.DUMMYFUNCTION("""COMPUTED_VALUE"""),"Unami Organic")</f>
        <v>Unami Organic</v>
      </c>
      <c r="N575" s="9" t="str">
        <f>IFERROR(__xludf.DUMMYFUNCTION("""COMPUTED_VALUE"""),"Plain")</f>
        <v>Plain</v>
      </c>
      <c r="O575" s="9" t="str">
        <f>IFERROR(__xludf.DUMMYFUNCTION("""COMPUTED_VALUE"""),"Carton")</f>
        <v>Carton</v>
      </c>
      <c r="P575" s="9">
        <f>IFERROR(__xludf.DUMMYFUNCTION("""COMPUTED_VALUE"""),1000.0)</f>
        <v>1000</v>
      </c>
      <c r="Q575" s="9" t="str">
        <f>IFERROR(__xludf.DUMMYFUNCTION("""COMPUTED_VALUE"""),"Q3'22")</f>
        <v>Q3'22</v>
      </c>
      <c r="R575" s="9">
        <f>IFERROR(__xludf.DUMMYFUNCTION("""COMPUTED_VALUE"""),0.7261683815686701)</f>
        <v>0.7261683816</v>
      </c>
    </row>
    <row r="576" ht="14.25" customHeight="1">
      <c r="A576" s="3" t="s">
        <v>25</v>
      </c>
      <c r="B576" s="3" t="s">
        <v>11</v>
      </c>
      <c r="C576" s="3" t="s">
        <v>27</v>
      </c>
      <c r="D576" s="3" t="s">
        <v>30</v>
      </c>
      <c r="E576" s="3" t="s">
        <v>14</v>
      </c>
      <c r="F576" s="3">
        <v>1000.0</v>
      </c>
      <c r="G576" s="4" t="s">
        <v>18</v>
      </c>
      <c r="H576" s="3">
        <v>0.21612161983458195</v>
      </c>
      <c r="K576" s="9" t="str">
        <f>IFERROR(__xludf.DUMMYFUNCTION("""COMPUTED_VALUE"""),"TT Off South")</f>
        <v>TT Off South</v>
      </c>
      <c r="L576" s="9" t="str">
        <f>IFERROR(__xludf.DUMMYFUNCTION("""COMPUTED_VALUE"""),"Elite")</f>
        <v>Elite</v>
      </c>
      <c r="M576" s="9" t="str">
        <f>IFERROR(__xludf.DUMMYFUNCTION("""COMPUTED_VALUE"""),"Unami Organic")</f>
        <v>Unami Organic</v>
      </c>
      <c r="N576" s="9" t="str">
        <f>IFERROR(__xludf.DUMMYFUNCTION("""COMPUTED_VALUE"""),"Plain")</f>
        <v>Plain</v>
      </c>
      <c r="O576" s="9" t="str">
        <f>IFERROR(__xludf.DUMMYFUNCTION("""COMPUTED_VALUE"""),"Carton")</f>
        <v>Carton</v>
      </c>
      <c r="P576" s="9">
        <f>IFERROR(__xludf.DUMMYFUNCTION("""COMPUTED_VALUE"""),1000.0)</f>
        <v>1000</v>
      </c>
      <c r="Q576" s="9" t="str">
        <f>IFERROR(__xludf.DUMMYFUNCTION("""COMPUTED_VALUE"""),"Q4'22")</f>
        <v>Q4'22</v>
      </c>
      <c r="R576" s="9">
        <f>IFERROR(__xludf.DUMMYFUNCTION("""COMPUTED_VALUE"""),0.7202867356834164)</f>
        <v>0.7202867357</v>
      </c>
    </row>
    <row r="577" ht="14.25" customHeight="1">
      <c r="A577" s="3" t="s">
        <v>25</v>
      </c>
      <c r="B577" s="3" t="s">
        <v>11</v>
      </c>
      <c r="C577" s="3" t="s">
        <v>27</v>
      </c>
      <c r="D577" s="3" t="s">
        <v>30</v>
      </c>
      <c r="E577" s="3" t="s">
        <v>14</v>
      </c>
      <c r="F577" s="3">
        <v>1000.0</v>
      </c>
      <c r="G577" s="4" t="s">
        <v>19</v>
      </c>
      <c r="H577" s="3">
        <v>0.18119250088030542</v>
      </c>
      <c r="K577" s="9" t="str">
        <f>IFERROR(__xludf.DUMMYFUNCTION("""COMPUTED_VALUE"""),"TT Off South")</f>
        <v>TT Off South</v>
      </c>
      <c r="L577" s="9" t="str">
        <f>IFERROR(__xludf.DUMMYFUNCTION("""COMPUTED_VALUE"""),"Elite")</f>
        <v>Elite</v>
      </c>
      <c r="M577" s="9" t="str">
        <f>IFERROR(__xludf.DUMMYFUNCTION("""COMPUTED_VALUE"""),"Unami Organic")</f>
        <v>Unami Organic</v>
      </c>
      <c r="N577" s="9" t="str">
        <f>IFERROR(__xludf.DUMMYFUNCTION("""COMPUTED_VALUE"""),"Plain")</f>
        <v>Plain</v>
      </c>
      <c r="O577" s="9" t="str">
        <f>IFERROR(__xludf.DUMMYFUNCTION("""COMPUTED_VALUE"""),"Carton")</f>
        <v>Carton</v>
      </c>
      <c r="P577" s="9">
        <f>IFERROR(__xludf.DUMMYFUNCTION("""COMPUTED_VALUE"""),1000.0)</f>
        <v>1000</v>
      </c>
      <c r="Q577" s="9" t="str">
        <f>IFERROR(__xludf.DUMMYFUNCTION("""COMPUTED_VALUE"""),"Q1'23")</f>
        <v>Q1'23</v>
      </c>
      <c r="R577" s="9">
        <f>IFERROR(__xludf.DUMMYFUNCTION("""COMPUTED_VALUE"""),0.6884742839731517)</f>
        <v>0.688474284</v>
      </c>
    </row>
    <row r="578" ht="14.25" customHeight="1">
      <c r="A578" s="3" t="s">
        <v>25</v>
      </c>
      <c r="B578" s="3" t="s">
        <v>11</v>
      </c>
      <c r="C578" s="3" t="s">
        <v>27</v>
      </c>
      <c r="D578" s="3" t="s">
        <v>30</v>
      </c>
      <c r="E578" s="3" t="s">
        <v>14</v>
      </c>
      <c r="F578" s="3">
        <v>1000.0</v>
      </c>
      <c r="G578" s="4" t="s">
        <v>20</v>
      </c>
      <c r="H578" s="3">
        <v>0.24263200970942217</v>
      </c>
      <c r="K578" s="9" t="str">
        <f>IFERROR(__xludf.DUMMYFUNCTION("""COMPUTED_VALUE"""),"TT Off South")</f>
        <v>TT Off South</v>
      </c>
      <c r="L578" s="9" t="str">
        <f>IFERROR(__xludf.DUMMYFUNCTION("""COMPUTED_VALUE"""),"Elite")</f>
        <v>Elite</v>
      </c>
      <c r="M578" s="9" t="str">
        <f>IFERROR(__xludf.DUMMYFUNCTION("""COMPUTED_VALUE"""),"Unami Organic")</f>
        <v>Unami Organic</v>
      </c>
      <c r="N578" s="9" t="str">
        <f>IFERROR(__xludf.DUMMYFUNCTION("""COMPUTED_VALUE"""),"Plain")</f>
        <v>Plain</v>
      </c>
      <c r="O578" s="9" t="str">
        <f>IFERROR(__xludf.DUMMYFUNCTION("""COMPUTED_VALUE"""),"Carton")</f>
        <v>Carton</v>
      </c>
      <c r="P578" s="9">
        <f>IFERROR(__xludf.DUMMYFUNCTION("""COMPUTED_VALUE"""),1000.0)</f>
        <v>1000</v>
      </c>
      <c r="Q578" s="9" t="str">
        <f>IFERROR(__xludf.DUMMYFUNCTION("""COMPUTED_VALUE"""),"Q2'23")</f>
        <v>Q2'23</v>
      </c>
      <c r="R578" s="9">
        <f>IFERROR(__xludf.DUMMYFUNCTION("""COMPUTED_VALUE"""),0.6973897394736737)</f>
        <v>0.6973897395</v>
      </c>
    </row>
    <row r="579" ht="14.25" customHeight="1">
      <c r="A579" s="3" t="s">
        <v>25</v>
      </c>
      <c r="B579" s="3" t="s">
        <v>11</v>
      </c>
      <c r="C579" s="3" t="s">
        <v>27</v>
      </c>
      <c r="D579" s="3" t="s">
        <v>30</v>
      </c>
      <c r="E579" s="3" t="s">
        <v>14</v>
      </c>
      <c r="F579" s="3">
        <v>1000.0</v>
      </c>
      <c r="G579" s="4" t="s">
        <v>21</v>
      </c>
      <c r="H579" s="3">
        <v>0.3198776072868832</v>
      </c>
      <c r="K579" s="9" t="str">
        <f>IFERROR(__xludf.DUMMYFUNCTION("""COMPUTED_VALUE"""),"TT Off South")</f>
        <v>TT Off South</v>
      </c>
      <c r="L579" s="9" t="str">
        <f>IFERROR(__xludf.DUMMYFUNCTION("""COMPUTED_VALUE"""),"Elite")</f>
        <v>Elite</v>
      </c>
      <c r="M579" s="9" t="str">
        <f>IFERROR(__xludf.DUMMYFUNCTION("""COMPUTED_VALUE"""),"Unami Organic")</f>
        <v>Unami Organic</v>
      </c>
      <c r="N579" s="9" t="str">
        <f>IFERROR(__xludf.DUMMYFUNCTION("""COMPUTED_VALUE"""),"Plain")</f>
        <v>Plain</v>
      </c>
      <c r="O579" s="9" t="str">
        <f>IFERROR(__xludf.DUMMYFUNCTION("""COMPUTED_VALUE"""),"Carton")</f>
        <v>Carton</v>
      </c>
      <c r="P579" s="9">
        <f>IFERROR(__xludf.DUMMYFUNCTION("""COMPUTED_VALUE"""),1000.0)</f>
        <v>1000</v>
      </c>
      <c r="Q579" s="9" t="str">
        <f>IFERROR(__xludf.DUMMYFUNCTION("""COMPUTED_VALUE"""),"Q3'23")</f>
        <v>Q3'23</v>
      </c>
      <c r="R579" s="9">
        <f>IFERROR(__xludf.DUMMYFUNCTION("""COMPUTED_VALUE"""),0.6152513085424883)</f>
        <v>0.6152513085</v>
      </c>
    </row>
    <row r="580" ht="14.25" customHeight="1">
      <c r="A580" s="3" t="s">
        <v>25</v>
      </c>
      <c r="B580" s="3" t="s">
        <v>11</v>
      </c>
      <c r="C580" s="3" t="s">
        <v>27</v>
      </c>
      <c r="D580" s="3" t="s">
        <v>30</v>
      </c>
      <c r="E580" s="3" t="s">
        <v>14</v>
      </c>
      <c r="F580" s="3">
        <v>1000.0</v>
      </c>
      <c r="G580" s="4" t="s">
        <v>22</v>
      </c>
      <c r="H580" s="3">
        <v>0.22775488618912754</v>
      </c>
      <c r="K580" s="9" t="str">
        <f>IFERROR(__xludf.DUMMYFUNCTION("""COMPUTED_VALUE"""),"TT Off South")</f>
        <v>TT Off South</v>
      </c>
      <c r="L580" s="9" t="str">
        <f>IFERROR(__xludf.DUMMYFUNCTION("""COMPUTED_VALUE"""),"Elite")</f>
        <v>Elite</v>
      </c>
      <c r="M580" s="9" t="str">
        <f>IFERROR(__xludf.DUMMYFUNCTION("""COMPUTED_VALUE"""),"Unami Organic")</f>
        <v>Unami Organic</v>
      </c>
      <c r="N580" s="9" t="str">
        <f>IFERROR(__xludf.DUMMYFUNCTION("""COMPUTED_VALUE"""),"Plain")</f>
        <v>Plain</v>
      </c>
      <c r="O580" s="9" t="str">
        <f>IFERROR(__xludf.DUMMYFUNCTION("""COMPUTED_VALUE"""),"Carton")</f>
        <v>Carton</v>
      </c>
      <c r="P580" s="9">
        <f>IFERROR(__xludf.DUMMYFUNCTION("""COMPUTED_VALUE"""),1000.0)</f>
        <v>1000</v>
      </c>
      <c r="Q580" s="9" t="str">
        <f>IFERROR(__xludf.DUMMYFUNCTION("""COMPUTED_VALUE"""),"Q4'23")</f>
        <v>Q4'23</v>
      </c>
      <c r="R580" s="9">
        <f>IFERROR(__xludf.DUMMYFUNCTION("""COMPUTED_VALUE"""),0.6287103785486616)</f>
        <v>0.6287103785</v>
      </c>
    </row>
    <row r="581" ht="14.25" customHeight="1">
      <c r="A581" s="3" t="s">
        <v>25</v>
      </c>
      <c r="B581" s="3" t="s">
        <v>11</v>
      </c>
      <c r="C581" s="3" t="s">
        <v>27</v>
      </c>
      <c r="D581" s="3" t="s">
        <v>13</v>
      </c>
      <c r="E581" s="3" t="s">
        <v>14</v>
      </c>
      <c r="F581" s="3">
        <v>1000.0</v>
      </c>
      <c r="G581" s="4" t="s">
        <v>15</v>
      </c>
      <c r="H581" s="3">
        <v>0.21605110117488036</v>
      </c>
      <c r="K581" s="9" t="str">
        <f>IFERROR(__xludf.DUMMYFUNCTION("""COMPUTED_VALUE"""),"TT Off South")</f>
        <v>TT Off South</v>
      </c>
      <c r="L581" s="9" t="str">
        <f>IFERROR(__xludf.DUMMYFUNCTION("""COMPUTED_VALUE"""),"Elite")</f>
        <v>Elite</v>
      </c>
      <c r="M581" s="9" t="str">
        <f>IFERROR(__xludf.DUMMYFUNCTION("""COMPUTED_VALUE"""),"Unami Organic")</f>
        <v>Unami Organic</v>
      </c>
      <c r="N581" s="9" t="str">
        <f>IFERROR(__xludf.DUMMYFUNCTION("""COMPUTED_VALUE"""),"Sweetened")</f>
        <v>Sweetened</v>
      </c>
      <c r="O581" s="9" t="str">
        <f>IFERROR(__xludf.DUMMYFUNCTION("""COMPUTED_VALUE"""),"Carton")</f>
        <v>Carton</v>
      </c>
      <c r="P581" s="9">
        <f>IFERROR(__xludf.DUMMYFUNCTION("""COMPUTED_VALUE"""),1000.0)</f>
        <v>1000</v>
      </c>
      <c r="Q581" s="9" t="str">
        <f>IFERROR(__xludf.DUMMYFUNCTION("""COMPUTED_VALUE"""),"Q1'22")</f>
        <v>Q1'22</v>
      </c>
      <c r="R581" s="9">
        <f>IFERROR(__xludf.DUMMYFUNCTION("""COMPUTED_VALUE"""),1.0543019202300643)</f>
        <v>1.05430192</v>
      </c>
    </row>
    <row r="582" ht="14.25" customHeight="1">
      <c r="A582" s="3" t="s">
        <v>25</v>
      </c>
      <c r="B582" s="3" t="s">
        <v>11</v>
      </c>
      <c r="C582" s="3" t="s">
        <v>27</v>
      </c>
      <c r="D582" s="3" t="s">
        <v>13</v>
      </c>
      <c r="E582" s="3" t="s">
        <v>14</v>
      </c>
      <c r="F582" s="3">
        <v>1000.0</v>
      </c>
      <c r="G582" s="4" t="s">
        <v>16</v>
      </c>
      <c r="H582" s="3">
        <v>0.35041932644111495</v>
      </c>
      <c r="K582" s="9" t="str">
        <f>IFERROR(__xludf.DUMMYFUNCTION("""COMPUTED_VALUE"""),"TT Off South")</f>
        <v>TT Off South</v>
      </c>
      <c r="L582" s="9" t="str">
        <f>IFERROR(__xludf.DUMMYFUNCTION("""COMPUTED_VALUE"""),"Elite")</f>
        <v>Elite</v>
      </c>
      <c r="M582" s="9" t="str">
        <f>IFERROR(__xludf.DUMMYFUNCTION("""COMPUTED_VALUE"""),"Unami Organic")</f>
        <v>Unami Organic</v>
      </c>
      <c r="N582" s="9" t="str">
        <f>IFERROR(__xludf.DUMMYFUNCTION("""COMPUTED_VALUE"""),"Sweetened")</f>
        <v>Sweetened</v>
      </c>
      <c r="O582" s="9" t="str">
        <f>IFERROR(__xludf.DUMMYFUNCTION("""COMPUTED_VALUE"""),"Carton")</f>
        <v>Carton</v>
      </c>
      <c r="P582" s="9">
        <f>IFERROR(__xludf.DUMMYFUNCTION("""COMPUTED_VALUE"""),1000.0)</f>
        <v>1000</v>
      </c>
      <c r="Q582" s="9" t="str">
        <f>IFERROR(__xludf.DUMMYFUNCTION("""COMPUTED_VALUE"""),"Q2'22")</f>
        <v>Q2'22</v>
      </c>
      <c r="R582" s="9">
        <f>IFERROR(__xludf.DUMMYFUNCTION("""COMPUTED_VALUE"""),1.1137506968875657)</f>
        <v>1.113750697</v>
      </c>
    </row>
    <row r="583" ht="14.25" customHeight="1">
      <c r="A583" s="3" t="s">
        <v>25</v>
      </c>
      <c r="B583" s="3" t="s">
        <v>11</v>
      </c>
      <c r="C583" s="3" t="s">
        <v>27</v>
      </c>
      <c r="D583" s="3" t="s">
        <v>13</v>
      </c>
      <c r="E583" s="3" t="s">
        <v>14</v>
      </c>
      <c r="F583" s="3">
        <v>1000.0</v>
      </c>
      <c r="G583" s="4" t="s">
        <v>17</v>
      </c>
      <c r="H583" s="3">
        <v>0.4468833047018114</v>
      </c>
      <c r="K583" s="9" t="str">
        <f>IFERROR(__xludf.DUMMYFUNCTION("""COMPUTED_VALUE"""),"TT Off South")</f>
        <v>TT Off South</v>
      </c>
      <c r="L583" s="9" t="str">
        <f>IFERROR(__xludf.DUMMYFUNCTION("""COMPUTED_VALUE"""),"Elite")</f>
        <v>Elite</v>
      </c>
      <c r="M583" s="9" t="str">
        <f>IFERROR(__xludf.DUMMYFUNCTION("""COMPUTED_VALUE"""),"Unami Organic")</f>
        <v>Unami Organic</v>
      </c>
      <c r="N583" s="9" t="str">
        <f>IFERROR(__xludf.DUMMYFUNCTION("""COMPUTED_VALUE"""),"Sweetened")</f>
        <v>Sweetened</v>
      </c>
      <c r="O583" s="9" t="str">
        <f>IFERROR(__xludf.DUMMYFUNCTION("""COMPUTED_VALUE"""),"Carton")</f>
        <v>Carton</v>
      </c>
      <c r="P583" s="9">
        <f>IFERROR(__xludf.DUMMYFUNCTION("""COMPUTED_VALUE"""),1000.0)</f>
        <v>1000</v>
      </c>
      <c r="Q583" s="9" t="str">
        <f>IFERROR(__xludf.DUMMYFUNCTION("""COMPUTED_VALUE"""),"Q3'22")</f>
        <v>Q3'22</v>
      </c>
      <c r="R583" s="9">
        <f>IFERROR(__xludf.DUMMYFUNCTION("""COMPUTED_VALUE"""),1.062658316203149)</f>
        <v>1.062658316</v>
      </c>
    </row>
    <row r="584" ht="14.25" customHeight="1">
      <c r="A584" s="3" t="s">
        <v>25</v>
      </c>
      <c r="B584" s="3" t="s">
        <v>11</v>
      </c>
      <c r="C584" s="3" t="s">
        <v>27</v>
      </c>
      <c r="D584" s="3" t="s">
        <v>13</v>
      </c>
      <c r="E584" s="3" t="s">
        <v>14</v>
      </c>
      <c r="F584" s="3">
        <v>1000.0</v>
      </c>
      <c r="G584" s="4" t="s">
        <v>18</v>
      </c>
      <c r="H584" s="3">
        <v>0.3855076784631373</v>
      </c>
      <c r="K584" s="9" t="str">
        <f>IFERROR(__xludf.DUMMYFUNCTION("""COMPUTED_VALUE"""),"TT Off South")</f>
        <v>TT Off South</v>
      </c>
      <c r="L584" s="9" t="str">
        <f>IFERROR(__xludf.DUMMYFUNCTION("""COMPUTED_VALUE"""),"Elite")</f>
        <v>Elite</v>
      </c>
      <c r="M584" s="9" t="str">
        <f>IFERROR(__xludf.DUMMYFUNCTION("""COMPUTED_VALUE"""),"Unami Organic")</f>
        <v>Unami Organic</v>
      </c>
      <c r="N584" s="9" t="str">
        <f>IFERROR(__xludf.DUMMYFUNCTION("""COMPUTED_VALUE"""),"Sweetened")</f>
        <v>Sweetened</v>
      </c>
      <c r="O584" s="9" t="str">
        <f>IFERROR(__xludf.DUMMYFUNCTION("""COMPUTED_VALUE"""),"Carton")</f>
        <v>Carton</v>
      </c>
      <c r="P584" s="9">
        <f>IFERROR(__xludf.DUMMYFUNCTION("""COMPUTED_VALUE"""),1000.0)</f>
        <v>1000</v>
      </c>
      <c r="Q584" s="9" t="str">
        <f>IFERROR(__xludf.DUMMYFUNCTION("""COMPUTED_VALUE"""),"Q4'22")</f>
        <v>Q4'22</v>
      </c>
      <c r="R584" s="9">
        <f>IFERROR(__xludf.DUMMYFUNCTION("""COMPUTED_VALUE"""),0.9812348000044001)</f>
        <v>0.9812348</v>
      </c>
    </row>
    <row r="585" ht="14.25" customHeight="1">
      <c r="A585" s="3" t="s">
        <v>25</v>
      </c>
      <c r="B585" s="3" t="s">
        <v>11</v>
      </c>
      <c r="C585" s="3" t="s">
        <v>27</v>
      </c>
      <c r="D585" s="3" t="s">
        <v>13</v>
      </c>
      <c r="E585" s="3" t="s">
        <v>14</v>
      </c>
      <c r="F585" s="3">
        <v>1000.0</v>
      </c>
      <c r="G585" s="4" t="s">
        <v>19</v>
      </c>
      <c r="H585" s="3">
        <v>0.30408727770905836</v>
      </c>
      <c r="K585" s="9" t="str">
        <f>IFERROR(__xludf.DUMMYFUNCTION("""COMPUTED_VALUE"""),"TT Off South")</f>
        <v>TT Off South</v>
      </c>
      <c r="L585" s="9" t="str">
        <f>IFERROR(__xludf.DUMMYFUNCTION("""COMPUTED_VALUE"""),"Elite")</f>
        <v>Elite</v>
      </c>
      <c r="M585" s="9" t="str">
        <f>IFERROR(__xludf.DUMMYFUNCTION("""COMPUTED_VALUE"""),"Unami Organic")</f>
        <v>Unami Organic</v>
      </c>
      <c r="N585" s="9" t="str">
        <f>IFERROR(__xludf.DUMMYFUNCTION("""COMPUTED_VALUE"""),"Sweetened")</f>
        <v>Sweetened</v>
      </c>
      <c r="O585" s="9" t="str">
        <f>IFERROR(__xludf.DUMMYFUNCTION("""COMPUTED_VALUE"""),"Carton")</f>
        <v>Carton</v>
      </c>
      <c r="P585" s="9">
        <f>IFERROR(__xludf.DUMMYFUNCTION("""COMPUTED_VALUE"""),1000.0)</f>
        <v>1000</v>
      </c>
      <c r="Q585" s="9" t="str">
        <f>IFERROR(__xludf.DUMMYFUNCTION("""COMPUTED_VALUE"""),"Q1'23")</f>
        <v>Q1'23</v>
      </c>
      <c r="R585" s="9">
        <f>IFERROR(__xludf.DUMMYFUNCTION("""COMPUTED_VALUE"""),0.9375647626439328)</f>
        <v>0.9375647626</v>
      </c>
    </row>
    <row r="586" ht="14.25" customHeight="1">
      <c r="A586" s="3" t="s">
        <v>25</v>
      </c>
      <c r="B586" s="3" t="s">
        <v>11</v>
      </c>
      <c r="C586" s="3" t="s">
        <v>27</v>
      </c>
      <c r="D586" s="3" t="s">
        <v>13</v>
      </c>
      <c r="E586" s="3" t="s">
        <v>14</v>
      </c>
      <c r="F586" s="3">
        <v>1000.0</v>
      </c>
      <c r="G586" s="4" t="s">
        <v>20</v>
      </c>
      <c r="H586" s="3">
        <v>0.3953792800346712</v>
      </c>
      <c r="K586" s="9" t="str">
        <f>IFERROR(__xludf.DUMMYFUNCTION("""COMPUTED_VALUE"""),"TT Off South")</f>
        <v>TT Off South</v>
      </c>
      <c r="L586" s="9" t="str">
        <f>IFERROR(__xludf.DUMMYFUNCTION("""COMPUTED_VALUE"""),"Elite")</f>
        <v>Elite</v>
      </c>
      <c r="M586" s="9" t="str">
        <f>IFERROR(__xludf.DUMMYFUNCTION("""COMPUTED_VALUE"""),"Unami Organic")</f>
        <v>Unami Organic</v>
      </c>
      <c r="N586" s="9" t="str">
        <f>IFERROR(__xludf.DUMMYFUNCTION("""COMPUTED_VALUE"""),"Sweetened")</f>
        <v>Sweetened</v>
      </c>
      <c r="O586" s="9" t="str">
        <f>IFERROR(__xludf.DUMMYFUNCTION("""COMPUTED_VALUE"""),"Carton")</f>
        <v>Carton</v>
      </c>
      <c r="P586" s="9">
        <f>IFERROR(__xludf.DUMMYFUNCTION("""COMPUTED_VALUE"""),1000.0)</f>
        <v>1000</v>
      </c>
      <c r="Q586" s="9" t="str">
        <f>IFERROR(__xludf.DUMMYFUNCTION("""COMPUTED_VALUE"""),"Q2'23")</f>
        <v>Q2'23</v>
      </c>
      <c r="R586" s="9">
        <f>IFERROR(__xludf.DUMMYFUNCTION("""COMPUTED_VALUE"""),0.859889692581217)</f>
        <v>0.8598896926</v>
      </c>
    </row>
    <row r="587" ht="14.25" customHeight="1">
      <c r="A587" s="3" t="s">
        <v>25</v>
      </c>
      <c r="B587" s="3" t="s">
        <v>11</v>
      </c>
      <c r="C587" s="3" t="s">
        <v>27</v>
      </c>
      <c r="D587" s="3" t="s">
        <v>13</v>
      </c>
      <c r="E587" s="3" t="s">
        <v>14</v>
      </c>
      <c r="F587" s="3">
        <v>1000.0</v>
      </c>
      <c r="G587" s="4" t="s">
        <v>21</v>
      </c>
      <c r="H587" s="3">
        <v>0.4214832019495426</v>
      </c>
      <c r="K587" s="9" t="str">
        <f>IFERROR(__xludf.DUMMYFUNCTION("""COMPUTED_VALUE"""),"TT Off South")</f>
        <v>TT Off South</v>
      </c>
      <c r="L587" s="9" t="str">
        <f>IFERROR(__xludf.DUMMYFUNCTION("""COMPUTED_VALUE"""),"Elite")</f>
        <v>Elite</v>
      </c>
      <c r="M587" s="9" t="str">
        <f>IFERROR(__xludf.DUMMYFUNCTION("""COMPUTED_VALUE"""),"Unami Organic")</f>
        <v>Unami Organic</v>
      </c>
      <c r="N587" s="9" t="str">
        <f>IFERROR(__xludf.DUMMYFUNCTION("""COMPUTED_VALUE"""),"Sweetened")</f>
        <v>Sweetened</v>
      </c>
      <c r="O587" s="9" t="str">
        <f>IFERROR(__xludf.DUMMYFUNCTION("""COMPUTED_VALUE"""),"Carton")</f>
        <v>Carton</v>
      </c>
      <c r="P587" s="9">
        <f>IFERROR(__xludf.DUMMYFUNCTION("""COMPUTED_VALUE"""),1000.0)</f>
        <v>1000</v>
      </c>
      <c r="Q587" s="9" t="str">
        <f>IFERROR(__xludf.DUMMYFUNCTION("""COMPUTED_VALUE"""),"Q3'23")</f>
        <v>Q3'23</v>
      </c>
      <c r="R587" s="9">
        <f>IFERROR(__xludf.DUMMYFUNCTION("""COMPUTED_VALUE"""),0.7440034844478612)</f>
        <v>0.7440034844</v>
      </c>
    </row>
    <row r="588" ht="14.25" customHeight="1">
      <c r="A588" s="3" t="s">
        <v>25</v>
      </c>
      <c r="B588" s="3" t="s">
        <v>11</v>
      </c>
      <c r="C588" s="3" t="s">
        <v>27</v>
      </c>
      <c r="D588" s="3" t="s">
        <v>13</v>
      </c>
      <c r="E588" s="3" t="s">
        <v>14</v>
      </c>
      <c r="F588" s="3">
        <v>1000.0</v>
      </c>
      <c r="G588" s="4" t="s">
        <v>22</v>
      </c>
      <c r="H588" s="3">
        <v>0.3665820434746191</v>
      </c>
      <c r="K588" s="9" t="str">
        <f>IFERROR(__xludf.DUMMYFUNCTION("""COMPUTED_VALUE"""),"TT Off South")</f>
        <v>TT Off South</v>
      </c>
      <c r="L588" s="9" t="str">
        <f>IFERROR(__xludf.DUMMYFUNCTION("""COMPUTED_VALUE"""),"Elite")</f>
        <v>Elite</v>
      </c>
      <c r="M588" s="9" t="str">
        <f>IFERROR(__xludf.DUMMYFUNCTION("""COMPUTED_VALUE"""),"Unami Organic")</f>
        <v>Unami Organic</v>
      </c>
      <c r="N588" s="9" t="str">
        <f>IFERROR(__xludf.DUMMYFUNCTION("""COMPUTED_VALUE"""),"Sweetened")</f>
        <v>Sweetened</v>
      </c>
      <c r="O588" s="9" t="str">
        <f>IFERROR(__xludf.DUMMYFUNCTION("""COMPUTED_VALUE"""),"Carton")</f>
        <v>Carton</v>
      </c>
      <c r="P588" s="9">
        <f>IFERROR(__xludf.DUMMYFUNCTION("""COMPUTED_VALUE"""),1000.0)</f>
        <v>1000</v>
      </c>
      <c r="Q588" s="9" t="str">
        <f>IFERROR(__xludf.DUMMYFUNCTION("""COMPUTED_VALUE"""),"Q4'23")</f>
        <v>Q4'23</v>
      </c>
      <c r="R588" s="9">
        <f>IFERROR(__xludf.DUMMYFUNCTION("""COMPUTED_VALUE"""),0.7433492562720331)</f>
        <v>0.7433492563</v>
      </c>
    </row>
    <row r="589" ht="14.25" customHeight="1">
      <c r="A589" s="3" t="s">
        <v>25</v>
      </c>
      <c r="B589" s="3" t="s">
        <v>11</v>
      </c>
      <c r="C589" s="3" t="s">
        <v>27</v>
      </c>
      <c r="D589" s="3" t="s">
        <v>13</v>
      </c>
      <c r="E589" s="3" t="s">
        <v>14</v>
      </c>
      <c r="F589" s="3">
        <v>110.0</v>
      </c>
      <c r="G589" s="4" t="s">
        <v>15</v>
      </c>
      <c r="H589" s="3">
        <v>6.40127778986306</v>
      </c>
      <c r="K589" s="9" t="str">
        <f>IFERROR(__xludf.DUMMYFUNCTION("""COMPUTED_VALUE"""),"TT Off South")</f>
        <v>TT Off South</v>
      </c>
      <c r="L589" s="9" t="str">
        <f>IFERROR(__xludf.DUMMYFUNCTION("""COMPUTED_VALUE"""),"Elite")</f>
        <v>Elite</v>
      </c>
      <c r="M589" s="9" t="str">
        <f>IFERROR(__xludf.DUMMYFUNCTION("""COMPUTED_VALUE"""),"Unami Organic")</f>
        <v>Unami Organic</v>
      </c>
      <c r="N589" s="9" t="str">
        <f>IFERROR(__xludf.DUMMYFUNCTION("""COMPUTED_VALUE"""),"Sweetened")</f>
        <v>Sweetened</v>
      </c>
      <c r="O589" s="9" t="str">
        <f>IFERROR(__xludf.DUMMYFUNCTION("""COMPUTED_VALUE"""),"Carton")</f>
        <v>Carton</v>
      </c>
      <c r="P589" s="9">
        <f>IFERROR(__xludf.DUMMYFUNCTION("""COMPUTED_VALUE"""),110.0)</f>
        <v>110</v>
      </c>
      <c r="Q589" s="9" t="str">
        <f>IFERROR(__xludf.DUMMYFUNCTION("""COMPUTED_VALUE"""),"Q1'22")</f>
        <v>Q1'22</v>
      </c>
      <c r="R589" s="9">
        <f>IFERROR(__xludf.DUMMYFUNCTION("""COMPUTED_VALUE"""),3.560757162837849)</f>
        <v>3.560757163</v>
      </c>
    </row>
    <row r="590" ht="14.25" customHeight="1">
      <c r="A590" s="3" t="s">
        <v>25</v>
      </c>
      <c r="B590" s="3" t="s">
        <v>11</v>
      </c>
      <c r="C590" s="3" t="s">
        <v>27</v>
      </c>
      <c r="D590" s="3" t="s">
        <v>13</v>
      </c>
      <c r="E590" s="3" t="s">
        <v>14</v>
      </c>
      <c r="F590" s="3">
        <v>110.0</v>
      </c>
      <c r="G590" s="4" t="s">
        <v>16</v>
      </c>
      <c r="H590" s="3">
        <v>6.358916215167389</v>
      </c>
      <c r="K590" s="9" t="str">
        <f>IFERROR(__xludf.DUMMYFUNCTION("""COMPUTED_VALUE"""),"TT Off South")</f>
        <v>TT Off South</v>
      </c>
      <c r="L590" s="9" t="str">
        <f>IFERROR(__xludf.DUMMYFUNCTION("""COMPUTED_VALUE"""),"Elite")</f>
        <v>Elite</v>
      </c>
      <c r="M590" s="9" t="str">
        <f>IFERROR(__xludf.DUMMYFUNCTION("""COMPUTED_VALUE"""),"Unami Organic")</f>
        <v>Unami Organic</v>
      </c>
      <c r="N590" s="9" t="str">
        <f>IFERROR(__xludf.DUMMYFUNCTION("""COMPUTED_VALUE"""),"Sweetened")</f>
        <v>Sweetened</v>
      </c>
      <c r="O590" s="9" t="str">
        <f>IFERROR(__xludf.DUMMYFUNCTION("""COMPUTED_VALUE"""),"Carton")</f>
        <v>Carton</v>
      </c>
      <c r="P590" s="9">
        <f>IFERROR(__xludf.DUMMYFUNCTION("""COMPUTED_VALUE"""),110.0)</f>
        <v>110</v>
      </c>
      <c r="Q590" s="9" t="str">
        <f>IFERROR(__xludf.DUMMYFUNCTION("""COMPUTED_VALUE"""),"Q2'22")</f>
        <v>Q2'22</v>
      </c>
      <c r="R590" s="9">
        <f>IFERROR(__xludf.DUMMYFUNCTION("""COMPUTED_VALUE"""),3.5932707571621187)</f>
        <v>3.593270757</v>
      </c>
    </row>
    <row r="591" ht="14.25" customHeight="1">
      <c r="A591" s="3" t="s">
        <v>25</v>
      </c>
      <c r="B591" s="3" t="s">
        <v>11</v>
      </c>
      <c r="C591" s="3" t="s">
        <v>27</v>
      </c>
      <c r="D591" s="3" t="s">
        <v>13</v>
      </c>
      <c r="E591" s="3" t="s">
        <v>14</v>
      </c>
      <c r="F591" s="3">
        <v>110.0</v>
      </c>
      <c r="G591" s="4" t="s">
        <v>17</v>
      </c>
      <c r="H591" s="3">
        <v>7.7785288465282445</v>
      </c>
      <c r="K591" s="9" t="str">
        <f>IFERROR(__xludf.DUMMYFUNCTION("""COMPUTED_VALUE"""),"TT Off South")</f>
        <v>TT Off South</v>
      </c>
      <c r="L591" s="9" t="str">
        <f>IFERROR(__xludf.DUMMYFUNCTION("""COMPUTED_VALUE"""),"Elite")</f>
        <v>Elite</v>
      </c>
      <c r="M591" s="9" t="str">
        <f>IFERROR(__xludf.DUMMYFUNCTION("""COMPUTED_VALUE"""),"Unami Organic")</f>
        <v>Unami Organic</v>
      </c>
      <c r="N591" s="9" t="str">
        <f>IFERROR(__xludf.DUMMYFUNCTION("""COMPUTED_VALUE"""),"Sweetened")</f>
        <v>Sweetened</v>
      </c>
      <c r="O591" s="9" t="str">
        <f>IFERROR(__xludf.DUMMYFUNCTION("""COMPUTED_VALUE"""),"Carton")</f>
        <v>Carton</v>
      </c>
      <c r="P591" s="9">
        <f>IFERROR(__xludf.DUMMYFUNCTION("""COMPUTED_VALUE"""),110.0)</f>
        <v>110</v>
      </c>
      <c r="Q591" s="9" t="str">
        <f>IFERROR(__xludf.DUMMYFUNCTION("""COMPUTED_VALUE"""),"Q3'22")</f>
        <v>Q3'22</v>
      </c>
      <c r="R591" s="9">
        <f>IFERROR(__xludf.DUMMYFUNCTION("""COMPUTED_VALUE"""),3.7699700307071495)</f>
        <v>3.769970031</v>
      </c>
    </row>
    <row r="592" ht="14.25" customHeight="1">
      <c r="A592" s="3" t="s">
        <v>25</v>
      </c>
      <c r="B592" s="3" t="s">
        <v>11</v>
      </c>
      <c r="C592" s="3" t="s">
        <v>27</v>
      </c>
      <c r="D592" s="3" t="s">
        <v>13</v>
      </c>
      <c r="E592" s="3" t="s">
        <v>14</v>
      </c>
      <c r="F592" s="3">
        <v>110.0</v>
      </c>
      <c r="G592" s="4" t="s">
        <v>18</v>
      </c>
      <c r="H592" s="3">
        <v>8.90345124582585</v>
      </c>
      <c r="K592" s="9" t="str">
        <f>IFERROR(__xludf.DUMMYFUNCTION("""COMPUTED_VALUE"""),"TT Off South")</f>
        <v>TT Off South</v>
      </c>
      <c r="L592" s="9" t="str">
        <f>IFERROR(__xludf.DUMMYFUNCTION("""COMPUTED_VALUE"""),"Elite")</f>
        <v>Elite</v>
      </c>
      <c r="M592" s="9" t="str">
        <f>IFERROR(__xludf.DUMMYFUNCTION("""COMPUTED_VALUE"""),"Unami Organic")</f>
        <v>Unami Organic</v>
      </c>
      <c r="N592" s="9" t="str">
        <f>IFERROR(__xludf.DUMMYFUNCTION("""COMPUTED_VALUE"""),"Sweetened")</f>
        <v>Sweetened</v>
      </c>
      <c r="O592" s="9" t="str">
        <f>IFERROR(__xludf.DUMMYFUNCTION("""COMPUTED_VALUE"""),"Carton")</f>
        <v>Carton</v>
      </c>
      <c r="P592" s="9">
        <f>IFERROR(__xludf.DUMMYFUNCTION("""COMPUTED_VALUE"""),110.0)</f>
        <v>110</v>
      </c>
      <c r="Q592" s="9" t="str">
        <f>IFERROR(__xludf.DUMMYFUNCTION("""COMPUTED_VALUE"""),"Q4'22")</f>
        <v>Q4'22</v>
      </c>
      <c r="R592" s="9">
        <f>IFERROR(__xludf.DUMMYFUNCTION("""COMPUTED_VALUE"""),4.14575810168407)</f>
        <v>4.145758102</v>
      </c>
    </row>
    <row r="593" ht="14.25" customHeight="1">
      <c r="A593" s="3" t="s">
        <v>25</v>
      </c>
      <c r="B593" s="3" t="s">
        <v>11</v>
      </c>
      <c r="C593" s="3" t="s">
        <v>27</v>
      </c>
      <c r="D593" s="3" t="s">
        <v>13</v>
      </c>
      <c r="E593" s="3" t="s">
        <v>14</v>
      </c>
      <c r="F593" s="3">
        <v>110.0</v>
      </c>
      <c r="G593" s="4" t="s">
        <v>19</v>
      </c>
      <c r="H593" s="3">
        <v>8.448606547611542</v>
      </c>
      <c r="K593" s="9" t="str">
        <f>IFERROR(__xludf.DUMMYFUNCTION("""COMPUTED_VALUE"""),"TT Off South")</f>
        <v>TT Off South</v>
      </c>
      <c r="L593" s="9" t="str">
        <f>IFERROR(__xludf.DUMMYFUNCTION("""COMPUTED_VALUE"""),"Elite")</f>
        <v>Elite</v>
      </c>
      <c r="M593" s="9" t="str">
        <f>IFERROR(__xludf.DUMMYFUNCTION("""COMPUTED_VALUE"""),"Unami Organic")</f>
        <v>Unami Organic</v>
      </c>
      <c r="N593" s="9" t="str">
        <f>IFERROR(__xludf.DUMMYFUNCTION("""COMPUTED_VALUE"""),"Sweetened")</f>
        <v>Sweetened</v>
      </c>
      <c r="O593" s="9" t="str">
        <f>IFERROR(__xludf.DUMMYFUNCTION("""COMPUTED_VALUE"""),"Carton")</f>
        <v>Carton</v>
      </c>
      <c r="P593" s="9">
        <f>IFERROR(__xludf.DUMMYFUNCTION("""COMPUTED_VALUE"""),110.0)</f>
        <v>110</v>
      </c>
      <c r="Q593" s="9" t="str">
        <f>IFERROR(__xludf.DUMMYFUNCTION("""COMPUTED_VALUE"""),"Q1'23")</f>
        <v>Q1'23</v>
      </c>
      <c r="R593" s="9">
        <f>IFERROR(__xludf.DUMMYFUNCTION("""COMPUTED_VALUE"""),4.273901685594825)</f>
        <v>4.273901686</v>
      </c>
    </row>
    <row r="594" ht="14.25" customHeight="1">
      <c r="A594" s="3" t="s">
        <v>25</v>
      </c>
      <c r="B594" s="3" t="s">
        <v>11</v>
      </c>
      <c r="C594" s="3" t="s">
        <v>27</v>
      </c>
      <c r="D594" s="3" t="s">
        <v>13</v>
      </c>
      <c r="E594" s="3" t="s">
        <v>14</v>
      </c>
      <c r="F594" s="3">
        <v>110.0</v>
      </c>
      <c r="G594" s="4" t="s">
        <v>20</v>
      </c>
      <c r="H594" s="3">
        <v>9.542587808281604</v>
      </c>
      <c r="K594" s="9" t="str">
        <f>IFERROR(__xludf.DUMMYFUNCTION("""COMPUTED_VALUE"""),"TT Off South")</f>
        <v>TT Off South</v>
      </c>
      <c r="L594" s="9" t="str">
        <f>IFERROR(__xludf.DUMMYFUNCTION("""COMPUTED_VALUE"""),"Elite")</f>
        <v>Elite</v>
      </c>
      <c r="M594" s="9" t="str">
        <f>IFERROR(__xludf.DUMMYFUNCTION("""COMPUTED_VALUE"""),"Unami Organic")</f>
        <v>Unami Organic</v>
      </c>
      <c r="N594" s="9" t="str">
        <f>IFERROR(__xludf.DUMMYFUNCTION("""COMPUTED_VALUE"""),"Sweetened")</f>
        <v>Sweetened</v>
      </c>
      <c r="O594" s="9" t="str">
        <f>IFERROR(__xludf.DUMMYFUNCTION("""COMPUTED_VALUE"""),"Carton")</f>
        <v>Carton</v>
      </c>
      <c r="P594" s="9">
        <f>IFERROR(__xludf.DUMMYFUNCTION("""COMPUTED_VALUE"""),110.0)</f>
        <v>110</v>
      </c>
      <c r="Q594" s="9" t="str">
        <f>IFERROR(__xludf.DUMMYFUNCTION("""COMPUTED_VALUE"""),"Q2'23")</f>
        <v>Q2'23</v>
      </c>
      <c r="R594" s="9">
        <f>IFERROR(__xludf.DUMMYFUNCTION("""COMPUTED_VALUE"""),4.520238133169645)</f>
        <v>4.520238133</v>
      </c>
    </row>
    <row r="595" ht="14.25" customHeight="1">
      <c r="A595" s="3" t="s">
        <v>25</v>
      </c>
      <c r="B595" s="3" t="s">
        <v>11</v>
      </c>
      <c r="C595" s="3" t="s">
        <v>27</v>
      </c>
      <c r="D595" s="3" t="s">
        <v>13</v>
      </c>
      <c r="E595" s="3" t="s">
        <v>14</v>
      </c>
      <c r="F595" s="3">
        <v>110.0</v>
      </c>
      <c r="G595" s="4" t="s">
        <v>21</v>
      </c>
      <c r="H595" s="3">
        <v>10.514008232656327</v>
      </c>
      <c r="K595" s="9" t="str">
        <f>IFERROR(__xludf.DUMMYFUNCTION("""COMPUTED_VALUE"""),"TT Off South")</f>
        <v>TT Off South</v>
      </c>
      <c r="L595" s="9" t="str">
        <f>IFERROR(__xludf.DUMMYFUNCTION("""COMPUTED_VALUE"""),"Elite")</f>
        <v>Elite</v>
      </c>
      <c r="M595" s="9" t="str">
        <f>IFERROR(__xludf.DUMMYFUNCTION("""COMPUTED_VALUE"""),"Unami Organic")</f>
        <v>Unami Organic</v>
      </c>
      <c r="N595" s="9" t="str">
        <f>IFERROR(__xludf.DUMMYFUNCTION("""COMPUTED_VALUE"""),"Sweetened")</f>
        <v>Sweetened</v>
      </c>
      <c r="O595" s="9" t="str">
        <f>IFERROR(__xludf.DUMMYFUNCTION("""COMPUTED_VALUE"""),"Carton")</f>
        <v>Carton</v>
      </c>
      <c r="P595" s="9">
        <f>IFERROR(__xludf.DUMMYFUNCTION("""COMPUTED_VALUE"""),110.0)</f>
        <v>110</v>
      </c>
      <c r="Q595" s="9" t="str">
        <f>IFERROR(__xludf.DUMMYFUNCTION("""COMPUTED_VALUE"""),"Q3'23")</f>
        <v>Q3'23</v>
      </c>
      <c r="R595" s="9">
        <f>IFERROR(__xludf.DUMMYFUNCTION("""COMPUTED_VALUE"""),4.8084548912795055)</f>
        <v>4.808454891</v>
      </c>
    </row>
    <row r="596" ht="14.25" customHeight="1">
      <c r="A596" s="3" t="s">
        <v>25</v>
      </c>
      <c r="B596" s="3" t="s">
        <v>11</v>
      </c>
      <c r="C596" s="3" t="s">
        <v>27</v>
      </c>
      <c r="D596" s="3" t="s">
        <v>13</v>
      </c>
      <c r="E596" s="3" t="s">
        <v>14</v>
      </c>
      <c r="F596" s="3">
        <v>110.0</v>
      </c>
      <c r="G596" s="4" t="s">
        <v>22</v>
      </c>
      <c r="H596" s="3">
        <v>11.135354105116155</v>
      </c>
      <c r="K596" s="9" t="str">
        <f>IFERROR(__xludf.DUMMYFUNCTION("""COMPUTED_VALUE"""),"TT Off South")</f>
        <v>TT Off South</v>
      </c>
      <c r="L596" s="9" t="str">
        <f>IFERROR(__xludf.DUMMYFUNCTION("""COMPUTED_VALUE"""),"Elite")</f>
        <v>Elite</v>
      </c>
      <c r="M596" s="9" t="str">
        <f>IFERROR(__xludf.DUMMYFUNCTION("""COMPUTED_VALUE"""),"Unami Organic")</f>
        <v>Unami Organic</v>
      </c>
      <c r="N596" s="9" t="str">
        <f>IFERROR(__xludf.DUMMYFUNCTION("""COMPUTED_VALUE"""),"Sweetened")</f>
        <v>Sweetened</v>
      </c>
      <c r="O596" s="9" t="str">
        <f>IFERROR(__xludf.DUMMYFUNCTION("""COMPUTED_VALUE"""),"Carton")</f>
        <v>Carton</v>
      </c>
      <c r="P596" s="9">
        <f>IFERROR(__xludf.DUMMYFUNCTION("""COMPUTED_VALUE"""),110.0)</f>
        <v>110</v>
      </c>
      <c r="Q596" s="9" t="str">
        <f>IFERROR(__xludf.DUMMYFUNCTION("""COMPUTED_VALUE"""),"Q4'23")</f>
        <v>Q4'23</v>
      </c>
      <c r="R596" s="9">
        <f>IFERROR(__xludf.DUMMYFUNCTION("""COMPUTED_VALUE"""),4.817321468228637)</f>
        <v>4.817321468</v>
      </c>
    </row>
    <row r="597" ht="14.25" customHeight="1">
      <c r="A597" s="3" t="s">
        <v>25</v>
      </c>
      <c r="B597" s="3" t="s">
        <v>11</v>
      </c>
      <c r="C597" s="3" t="s">
        <v>27</v>
      </c>
      <c r="D597" s="3" t="s">
        <v>13</v>
      </c>
      <c r="E597" s="3" t="s">
        <v>14</v>
      </c>
      <c r="F597" s="3">
        <v>180.0</v>
      </c>
      <c r="G597" s="4" t="s">
        <v>15</v>
      </c>
      <c r="H597" s="3">
        <v>7.487283942387048</v>
      </c>
      <c r="K597" s="9" t="str">
        <f>IFERROR(__xludf.DUMMYFUNCTION("""COMPUTED_VALUE"""),"TT Off South")</f>
        <v>TT Off South</v>
      </c>
      <c r="L597" s="9" t="str">
        <f>IFERROR(__xludf.DUMMYFUNCTION("""COMPUTED_VALUE"""),"Elite")</f>
        <v>Elite</v>
      </c>
      <c r="M597" s="9" t="str">
        <f>IFERROR(__xludf.DUMMYFUNCTION("""COMPUTED_VALUE"""),"Unami Organic")</f>
        <v>Unami Organic</v>
      </c>
      <c r="N597" s="9" t="str">
        <f>IFERROR(__xludf.DUMMYFUNCTION("""COMPUTED_VALUE"""),"Sweetened")</f>
        <v>Sweetened</v>
      </c>
      <c r="O597" s="9" t="str">
        <f>IFERROR(__xludf.DUMMYFUNCTION("""COMPUTED_VALUE"""),"Carton")</f>
        <v>Carton</v>
      </c>
      <c r="P597" s="9">
        <f>IFERROR(__xludf.DUMMYFUNCTION("""COMPUTED_VALUE"""),180.0)</f>
        <v>180</v>
      </c>
      <c r="Q597" s="9" t="str">
        <f>IFERROR(__xludf.DUMMYFUNCTION("""COMPUTED_VALUE"""),"Q1'22")</f>
        <v>Q1'22</v>
      </c>
      <c r="R597" s="9">
        <f>IFERROR(__xludf.DUMMYFUNCTION("""COMPUTED_VALUE"""),6.998585816280155)</f>
        <v>6.998585816</v>
      </c>
    </row>
    <row r="598" ht="14.25" customHeight="1">
      <c r="A598" s="3" t="s">
        <v>25</v>
      </c>
      <c r="B598" s="3" t="s">
        <v>11</v>
      </c>
      <c r="C598" s="3" t="s">
        <v>27</v>
      </c>
      <c r="D598" s="3" t="s">
        <v>13</v>
      </c>
      <c r="E598" s="3" t="s">
        <v>14</v>
      </c>
      <c r="F598" s="3">
        <v>180.0</v>
      </c>
      <c r="G598" s="4" t="s">
        <v>16</v>
      </c>
      <c r="H598" s="3">
        <v>7.600438484070427</v>
      </c>
      <c r="K598" s="9" t="str">
        <f>IFERROR(__xludf.DUMMYFUNCTION("""COMPUTED_VALUE"""),"TT Off South")</f>
        <v>TT Off South</v>
      </c>
      <c r="L598" s="9" t="str">
        <f>IFERROR(__xludf.DUMMYFUNCTION("""COMPUTED_VALUE"""),"Elite")</f>
        <v>Elite</v>
      </c>
      <c r="M598" s="9" t="str">
        <f>IFERROR(__xludf.DUMMYFUNCTION("""COMPUTED_VALUE"""),"Unami Organic")</f>
        <v>Unami Organic</v>
      </c>
      <c r="N598" s="9" t="str">
        <f>IFERROR(__xludf.DUMMYFUNCTION("""COMPUTED_VALUE"""),"Sweetened")</f>
        <v>Sweetened</v>
      </c>
      <c r="O598" s="9" t="str">
        <f>IFERROR(__xludf.DUMMYFUNCTION("""COMPUTED_VALUE"""),"Carton")</f>
        <v>Carton</v>
      </c>
      <c r="P598" s="9">
        <f>IFERROR(__xludf.DUMMYFUNCTION("""COMPUTED_VALUE"""),180.0)</f>
        <v>180</v>
      </c>
      <c r="Q598" s="9" t="str">
        <f>IFERROR(__xludf.DUMMYFUNCTION("""COMPUTED_VALUE"""),"Q2'22")</f>
        <v>Q2'22</v>
      </c>
      <c r="R598" s="9">
        <f>IFERROR(__xludf.DUMMYFUNCTION("""COMPUTED_VALUE"""),6.954998218728664)</f>
        <v>6.954998219</v>
      </c>
    </row>
    <row r="599" ht="14.25" customHeight="1">
      <c r="A599" s="3" t="s">
        <v>25</v>
      </c>
      <c r="B599" s="3" t="s">
        <v>11</v>
      </c>
      <c r="C599" s="3" t="s">
        <v>27</v>
      </c>
      <c r="D599" s="3" t="s">
        <v>13</v>
      </c>
      <c r="E599" s="3" t="s">
        <v>14</v>
      </c>
      <c r="F599" s="3">
        <v>180.0</v>
      </c>
      <c r="G599" s="4" t="s">
        <v>17</v>
      </c>
      <c r="H599" s="3">
        <v>9.101166216376356</v>
      </c>
      <c r="K599" s="9" t="str">
        <f>IFERROR(__xludf.DUMMYFUNCTION("""COMPUTED_VALUE"""),"TT Off South")</f>
        <v>TT Off South</v>
      </c>
      <c r="L599" s="9" t="str">
        <f>IFERROR(__xludf.DUMMYFUNCTION("""COMPUTED_VALUE"""),"Elite")</f>
        <v>Elite</v>
      </c>
      <c r="M599" s="9" t="str">
        <f>IFERROR(__xludf.DUMMYFUNCTION("""COMPUTED_VALUE"""),"Unami Organic")</f>
        <v>Unami Organic</v>
      </c>
      <c r="N599" s="9" t="str">
        <f>IFERROR(__xludf.DUMMYFUNCTION("""COMPUTED_VALUE"""),"Sweetened")</f>
        <v>Sweetened</v>
      </c>
      <c r="O599" s="9" t="str">
        <f>IFERROR(__xludf.DUMMYFUNCTION("""COMPUTED_VALUE"""),"Carton")</f>
        <v>Carton</v>
      </c>
      <c r="P599" s="9">
        <f>IFERROR(__xludf.DUMMYFUNCTION("""COMPUTED_VALUE"""),180.0)</f>
        <v>180</v>
      </c>
      <c r="Q599" s="9" t="str">
        <f>IFERROR(__xludf.DUMMYFUNCTION("""COMPUTED_VALUE"""),"Q3'22")</f>
        <v>Q3'22</v>
      </c>
      <c r="R599" s="9">
        <f>IFERROR(__xludf.DUMMYFUNCTION("""COMPUTED_VALUE"""),7.674928913603825)</f>
        <v>7.674928914</v>
      </c>
    </row>
    <row r="600" ht="14.25" customHeight="1">
      <c r="A600" s="3" t="s">
        <v>25</v>
      </c>
      <c r="B600" s="3" t="s">
        <v>11</v>
      </c>
      <c r="C600" s="3" t="s">
        <v>27</v>
      </c>
      <c r="D600" s="3" t="s">
        <v>13</v>
      </c>
      <c r="E600" s="3" t="s">
        <v>14</v>
      </c>
      <c r="F600" s="3">
        <v>180.0</v>
      </c>
      <c r="G600" s="4" t="s">
        <v>18</v>
      </c>
      <c r="H600" s="3">
        <v>9.675799214865094</v>
      </c>
      <c r="K600" s="9" t="str">
        <f>IFERROR(__xludf.DUMMYFUNCTION("""COMPUTED_VALUE"""),"TT Off South")</f>
        <v>TT Off South</v>
      </c>
      <c r="L600" s="9" t="str">
        <f>IFERROR(__xludf.DUMMYFUNCTION("""COMPUTED_VALUE"""),"Elite")</f>
        <v>Elite</v>
      </c>
      <c r="M600" s="9" t="str">
        <f>IFERROR(__xludf.DUMMYFUNCTION("""COMPUTED_VALUE"""),"Unami Organic")</f>
        <v>Unami Organic</v>
      </c>
      <c r="N600" s="9" t="str">
        <f>IFERROR(__xludf.DUMMYFUNCTION("""COMPUTED_VALUE"""),"Sweetened")</f>
        <v>Sweetened</v>
      </c>
      <c r="O600" s="9" t="str">
        <f>IFERROR(__xludf.DUMMYFUNCTION("""COMPUTED_VALUE"""),"Carton")</f>
        <v>Carton</v>
      </c>
      <c r="P600" s="9">
        <f>IFERROR(__xludf.DUMMYFUNCTION("""COMPUTED_VALUE"""),180.0)</f>
        <v>180</v>
      </c>
      <c r="Q600" s="9" t="str">
        <f>IFERROR(__xludf.DUMMYFUNCTION("""COMPUTED_VALUE"""),"Q4'22")</f>
        <v>Q4'22</v>
      </c>
      <c r="R600" s="9">
        <f>IFERROR(__xludf.DUMMYFUNCTION("""COMPUTED_VALUE"""),7.903584175758849)</f>
        <v>7.903584176</v>
      </c>
    </row>
    <row r="601" ht="14.25" customHeight="1">
      <c r="A601" s="3" t="s">
        <v>25</v>
      </c>
      <c r="B601" s="3" t="s">
        <v>11</v>
      </c>
      <c r="C601" s="3" t="s">
        <v>27</v>
      </c>
      <c r="D601" s="3" t="s">
        <v>13</v>
      </c>
      <c r="E601" s="3" t="s">
        <v>14</v>
      </c>
      <c r="F601" s="3">
        <v>180.0</v>
      </c>
      <c r="G601" s="4" t="s">
        <v>19</v>
      </c>
      <c r="H601" s="3">
        <v>9.498363623010912</v>
      </c>
      <c r="K601" s="9" t="str">
        <f>IFERROR(__xludf.DUMMYFUNCTION("""COMPUTED_VALUE"""),"TT Off South")</f>
        <v>TT Off South</v>
      </c>
      <c r="L601" s="9" t="str">
        <f>IFERROR(__xludf.DUMMYFUNCTION("""COMPUTED_VALUE"""),"Elite")</f>
        <v>Elite</v>
      </c>
      <c r="M601" s="9" t="str">
        <f>IFERROR(__xludf.DUMMYFUNCTION("""COMPUTED_VALUE"""),"Unami Organic")</f>
        <v>Unami Organic</v>
      </c>
      <c r="N601" s="9" t="str">
        <f>IFERROR(__xludf.DUMMYFUNCTION("""COMPUTED_VALUE"""),"Sweetened")</f>
        <v>Sweetened</v>
      </c>
      <c r="O601" s="9" t="str">
        <f>IFERROR(__xludf.DUMMYFUNCTION("""COMPUTED_VALUE"""),"Carton")</f>
        <v>Carton</v>
      </c>
      <c r="P601" s="9">
        <f>IFERROR(__xludf.DUMMYFUNCTION("""COMPUTED_VALUE"""),180.0)</f>
        <v>180</v>
      </c>
      <c r="Q601" s="9" t="str">
        <f>IFERROR(__xludf.DUMMYFUNCTION("""COMPUTED_VALUE"""),"Q1'23")</f>
        <v>Q1'23</v>
      </c>
      <c r="R601" s="9">
        <f>IFERROR(__xludf.DUMMYFUNCTION("""COMPUTED_VALUE"""),8.269163980375058)</f>
        <v>8.26916398</v>
      </c>
    </row>
    <row r="602" ht="14.25" customHeight="1">
      <c r="A602" s="3" t="s">
        <v>25</v>
      </c>
      <c r="B602" s="3" t="s">
        <v>11</v>
      </c>
      <c r="C602" s="3" t="s">
        <v>27</v>
      </c>
      <c r="D602" s="3" t="s">
        <v>13</v>
      </c>
      <c r="E602" s="3" t="s">
        <v>14</v>
      </c>
      <c r="F602" s="3">
        <v>180.0</v>
      </c>
      <c r="G602" s="4" t="s">
        <v>20</v>
      </c>
      <c r="H602" s="3">
        <v>10.409573269616747</v>
      </c>
      <c r="K602" s="9" t="str">
        <f>IFERROR(__xludf.DUMMYFUNCTION("""COMPUTED_VALUE"""),"TT Off South")</f>
        <v>TT Off South</v>
      </c>
      <c r="L602" s="9" t="str">
        <f>IFERROR(__xludf.DUMMYFUNCTION("""COMPUTED_VALUE"""),"Elite")</f>
        <v>Elite</v>
      </c>
      <c r="M602" s="9" t="str">
        <f>IFERROR(__xludf.DUMMYFUNCTION("""COMPUTED_VALUE"""),"Unami Organic")</f>
        <v>Unami Organic</v>
      </c>
      <c r="N602" s="9" t="str">
        <f>IFERROR(__xludf.DUMMYFUNCTION("""COMPUTED_VALUE"""),"Sweetened")</f>
        <v>Sweetened</v>
      </c>
      <c r="O602" s="9" t="str">
        <f>IFERROR(__xludf.DUMMYFUNCTION("""COMPUTED_VALUE"""),"Carton")</f>
        <v>Carton</v>
      </c>
      <c r="P602" s="9">
        <f>IFERROR(__xludf.DUMMYFUNCTION("""COMPUTED_VALUE"""),180.0)</f>
        <v>180</v>
      </c>
      <c r="Q602" s="9" t="str">
        <f>IFERROR(__xludf.DUMMYFUNCTION("""COMPUTED_VALUE"""),"Q2'23")</f>
        <v>Q2'23</v>
      </c>
      <c r="R602" s="9">
        <f>IFERROR(__xludf.DUMMYFUNCTION("""COMPUTED_VALUE"""),8.501329471754417)</f>
        <v>8.501329472</v>
      </c>
    </row>
    <row r="603" ht="14.25" customHeight="1">
      <c r="A603" s="3" t="s">
        <v>25</v>
      </c>
      <c r="B603" s="3" t="s">
        <v>11</v>
      </c>
      <c r="C603" s="3" t="s">
        <v>27</v>
      </c>
      <c r="D603" s="3" t="s">
        <v>13</v>
      </c>
      <c r="E603" s="3" t="s">
        <v>14</v>
      </c>
      <c r="F603" s="3">
        <v>180.0</v>
      </c>
      <c r="G603" s="4" t="s">
        <v>21</v>
      </c>
      <c r="H603" s="3">
        <v>11.26987905076151</v>
      </c>
      <c r="K603" s="9" t="str">
        <f>IFERROR(__xludf.DUMMYFUNCTION("""COMPUTED_VALUE"""),"TT Off South")</f>
        <v>TT Off South</v>
      </c>
      <c r="L603" s="9" t="str">
        <f>IFERROR(__xludf.DUMMYFUNCTION("""COMPUTED_VALUE"""),"Elite")</f>
        <v>Elite</v>
      </c>
      <c r="M603" s="9" t="str">
        <f>IFERROR(__xludf.DUMMYFUNCTION("""COMPUTED_VALUE"""),"Unami Organic")</f>
        <v>Unami Organic</v>
      </c>
      <c r="N603" s="9" t="str">
        <f>IFERROR(__xludf.DUMMYFUNCTION("""COMPUTED_VALUE"""),"Sweetened")</f>
        <v>Sweetened</v>
      </c>
      <c r="O603" s="9" t="str">
        <f>IFERROR(__xludf.DUMMYFUNCTION("""COMPUTED_VALUE"""),"Carton")</f>
        <v>Carton</v>
      </c>
      <c r="P603" s="9">
        <f>IFERROR(__xludf.DUMMYFUNCTION("""COMPUTED_VALUE"""),180.0)</f>
        <v>180</v>
      </c>
      <c r="Q603" s="9" t="str">
        <f>IFERROR(__xludf.DUMMYFUNCTION("""COMPUTED_VALUE"""),"Q3'23")</f>
        <v>Q3'23</v>
      </c>
      <c r="R603" s="9">
        <f>IFERROR(__xludf.DUMMYFUNCTION("""COMPUTED_VALUE"""),8.625424478957058)</f>
        <v>8.625424479</v>
      </c>
    </row>
    <row r="604" ht="14.25" customHeight="1">
      <c r="A604" s="3" t="s">
        <v>25</v>
      </c>
      <c r="B604" s="3" t="s">
        <v>11</v>
      </c>
      <c r="C604" s="3" t="s">
        <v>27</v>
      </c>
      <c r="D604" s="3" t="s">
        <v>13</v>
      </c>
      <c r="E604" s="3" t="s">
        <v>14</v>
      </c>
      <c r="F604" s="3">
        <v>180.0</v>
      </c>
      <c r="G604" s="4" t="s">
        <v>22</v>
      </c>
      <c r="H604" s="3">
        <v>11.477568747179799</v>
      </c>
      <c r="K604" s="9" t="str">
        <f>IFERROR(__xludf.DUMMYFUNCTION("""COMPUTED_VALUE"""),"TT Off South")</f>
        <v>TT Off South</v>
      </c>
      <c r="L604" s="9" t="str">
        <f>IFERROR(__xludf.DUMMYFUNCTION("""COMPUTED_VALUE"""),"Elite")</f>
        <v>Elite</v>
      </c>
      <c r="M604" s="9" t="str">
        <f>IFERROR(__xludf.DUMMYFUNCTION("""COMPUTED_VALUE"""),"Unami Organic")</f>
        <v>Unami Organic</v>
      </c>
      <c r="N604" s="9" t="str">
        <f>IFERROR(__xludf.DUMMYFUNCTION("""COMPUTED_VALUE"""),"Sweetened")</f>
        <v>Sweetened</v>
      </c>
      <c r="O604" s="9" t="str">
        <f>IFERROR(__xludf.DUMMYFUNCTION("""COMPUTED_VALUE"""),"Carton")</f>
        <v>Carton</v>
      </c>
      <c r="P604" s="9">
        <f>IFERROR(__xludf.DUMMYFUNCTION("""COMPUTED_VALUE"""),180.0)</f>
        <v>180</v>
      </c>
      <c r="Q604" s="9" t="str">
        <f>IFERROR(__xludf.DUMMYFUNCTION("""COMPUTED_VALUE"""),"Q4'23")</f>
        <v>Q4'23</v>
      </c>
      <c r="R604" s="9">
        <f>IFERROR(__xludf.DUMMYFUNCTION("""COMPUTED_VALUE"""),9.275760910444117)</f>
        <v>9.27576091</v>
      </c>
    </row>
    <row r="605" ht="14.25" customHeight="1">
      <c r="A605" s="3" t="s">
        <v>25</v>
      </c>
      <c r="B605" s="3" t="s">
        <v>11</v>
      </c>
      <c r="C605" s="3" t="s">
        <v>12</v>
      </c>
      <c r="D605" s="3" t="s">
        <v>28</v>
      </c>
      <c r="E605" s="3" t="s">
        <v>29</v>
      </c>
      <c r="F605" s="3">
        <v>220.0</v>
      </c>
      <c r="G605" s="4" t="s">
        <v>15</v>
      </c>
      <c r="H605" s="3">
        <v>1.2394107757142718</v>
      </c>
      <c r="K605" s="9" t="str">
        <f>IFERROR(__xludf.DUMMYFUNCTION("""COMPUTED_VALUE"""),"TT Off South")</f>
        <v>TT Off South</v>
      </c>
      <c r="L605" s="9" t="str">
        <f>IFERROR(__xludf.DUMMYFUNCTION("""COMPUTED_VALUE"""),"Elite")</f>
        <v>Elite</v>
      </c>
      <c r="M605" s="9" t="str">
        <f>IFERROR(__xludf.DUMMYFUNCTION("""COMPUTED_VALUE"""),"Unami")</f>
        <v>Unami</v>
      </c>
      <c r="N605" s="9" t="str">
        <f>IFERROR(__xludf.DUMMYFUNCTION("""COMPUTED_VALUE"""),"Chocolate")</f>
        <v>Chocolate</v>
      </c>
      <c r="O605" s="9" t="str">
        <f>IFERROR(__xludf.DUMMYFUNCTION("""COMPUTED_VALUE"""),"TFA")</f>
        <v>TFA</v>
      </c>
      <c r="P605" s="9">
        <f>IFERROR(__xludf.DUMMYFUNCTION("""COMPUTED_VALUE"""),220.0)</f>
        <v>220</v>
      </c>
      <c r="Q605" s="9" t="str">
        <f>IFERROR(__xludf.DUMMYFUNCTION("""COMPUTED_VALUE"""),"Q1'22")</f>
        <v>Q1'22</v>
      </c>
      <c r="R605" s="9">
        <f>IFERROR(__xludf.DUMMYFUNCTION("""COMPUTED_VALUE"""),2.319390376310219)</f>
        <v>2.319390376</v>
      </c>
    </row>
    <row r="606" ht="14.25" customHeight="1">
      <c r="A606" s="3" t="s">
        <v>25</v>
      </c>
      <c r="B606" s="3" t="s">
        <v>11</v>
      </c>
      <c r="C606" s="3" t="s">
        <v>12</v>
      </c>
      <c r="D606" s="3" t="s">
        <v>28</v>
      </c>
      <c r="E606" s="3" t="s">
        <v>29</v>
      </c>
      <c r="F606" s="3">
        <v>220.0</v>
      </c>
      <c r="G606" s="4" t="s">
        <v>16</v>
      </c>
      <c r="H606" s="3">
        <v>1.1532113501418884</v>
      </c>
      <c r="K606" s="9" t="str">
        <f>IFERROR(__xludf.DUMMYFUNCTION("""COMPUTED_VALUE"""),"TT Off South")</f>
        <v>TT Off South</v>
      </c>
      <c r="L606" s="9" t="str">
        <f>IFERROR(__xludf.DUMMYFUNCTION("""COMPUTED_VALUE"""),"Elite")</f>
        <v>Elite</v>
      </c>
      <c r="M606" s="9" t="str">
        <f>IFERROR(__xludf.DUMMYFUNCTION("""COMPUTED_VALUE"""),"Unami")</f>
        <v>Unami</v>
      </c>
      <c r="N606" s="9" t="str">
        <f>IFERROR(__xludf.DUMMYFUNCTION("""COMPUTED_VALUE"""),"Chocolate")</f>
        <v>Chocolate</v>
      </c>
      <c r="O606" s="9" t="str">
        <f>IFERROR(__xludf.DUMMYFUNCTION("""COMPUTED_VALUE"""),"TFA")</f>
        <v>TFA</v>
      </c>
      <c r="P606" s="9">
        <f>IFERROR(__xludf.DUMMYFUNCTION("""COMPUTED_VALUE"""),220.0)</f>
        <v>220</v>
      </c>
      <c r="Q606" s="9" t="str">
        <f>IFERROR(__xludf.DUMMYFUNCTION("""COMPUTED_VALUE"""),"Q2'22")</f>
        <v>Q2'22</v>
      </c>
      <c r="R606" s="9">
        <f>IFERROR(__xludf.DUMMYFUNCTION("""COMPUTED_VALUE"""),2.5226554075550833)</f>
        <v>2.522655408</v>
      </c>
    </row>
    <row r="607" ht="14.25" customHeight="1">
      <c r="A607" s="3" t="s">
        <v>25</v>
      </c>
      <c r="B607" s="3" t="s">
        <v>11</v>
      </c>
      <c r="C607" s="3" t="s">
        <v>12</v>
      </c>
      <c r="D607" s="3" t="s">
        <v>28</v>
      </c>
      <c r="E607" s="3" t="s">
        <v>29</v>
      </c>
      <c r="F607" s="3">
        <v>220.0</v>
      </c>
      <c r="G607" s="4" t="s">
        <v>17</v>
      </c>
      <c r="H607" s="3">
        <v>1.0474494446945657</v>
      </c>
      <c r="K607" s="9" t="str">
        <f>IFERROR(__xludf.DUMMYFUNCTION("""COMPUTED_VALUE"""),"TT Off South")</f>
        <v>TT Off South</v>
      </c>
      <c r="L607" s="9" t="str">
        <f>IFERROR(__xludf.DUMMYFUNCTION("""COMPUTED_VALUE"""),"Elite")</f>
        <v>Elite</v>
      </c>
      <c r="M607" s="9" t="str">
        <f>IFERROR(__xludf.DUMMYFUNCTION("""COMPUTED_VALUE"""),"Unami")</f>
        <v>Unami</v>
      </c>
      <c r="N607" s="9" t="str">
        <f>IFERROR(__xludf.DUMMYFUNCTION("""COMPUTED_VALUE"""),"Chocolate")</f>
        <v>Chocolate</v>
      </c>
      <c r="O607" s="9" t="str">
        <f>IFERROR(__xludf.DUMMYFUNCTION("""COMPUTED_VALUE"""),"TFA")</f>
        <v>TFA</v>
      </c>
      <c r="P607" s="9">
        <f>IFERROR(__xludf.DUMMYFUNCTION("""COMPUTED_VALUE"""),220.0)</f>
        <v>220</v>
      </c>
      <c r="Q607" s="9" t="str">
        <f>IFERROR(__xludf.DUMMYFUNCTION("""COMPUTED_VALUE"""),"Q3'22")</f>
        <v>Q3'22</v>
      </c>
      <c r="R607" s="9">
        <f>IFERROR(__xludf.DUMMYFUNCTION("""COMPUTED_VALUE"""),2.443549611324449)</f>
        <v>2.443549611</v>
      </c>
    </row>
    <row r="608" ht="14.25" customHeight="1">
      <c r="A608" s="3" t="s">
        <v>25</v>
      </c>
      <c r="B608" s="3" t="s">
        <v>11</v>
      </c>
      <c r="C608" s="3" t="s">
        <v>12</v>
      </c>
      <c r="D608" s="3" t="s">
        <v>28</v>
      </c>
      <c r="E608" s="3" t="s">
        <v>29</v>
      </c>
      <c r="F608" s="3">
        <v>220.0</v>
      </c>
      <c r="G608" s="4" t="s">
        <v>18</v>
      </c>
      <c r="H608" s="3">
        <v>1.1426235114465162</v>
      </c>
      <c r="K608" s="9" t="str">
        <f>IFERROR(__xludf.DUMMYFUNCTION("""COMPUTED_VALUE"""),"TT Off South")</f>
        <v>TT Off South</v>
      </c>
      <c r="L608" s="9" t="str">
        <f>IFERROR(__xludf.DUMMYFUNCTION("""COMPUTED_VALUE"""),"Elite")</f>
        <v>Elite</v>
      </c>
      <c r="M608" s="9" t="str">
        <f>IFERROR(__xludf.DUMMYFUNCTION("""COMPUTED_VALUE"""),"Unami")</f>
        <v>Unami</v>
      </c>
      <c r="N608" s="9" t="str">
        <f>IFERROR(__xludf.DUMMYFUNCTION("""COMPUTED_VALUE"""),"Chocolate")</f>
        <v>Chocolate</v>
      </c>
      <c r="O608" s="9" t="str">
        <f>IFERROR(__xludf.DUMMYFUNCTION("""COMPUTED_VALUE"""),"TFA")</f>
        <v>TFA</v>
      </c>
      <c r="P608" s="9">
        <f>IFERROR(__xludf.DUMMYFUNCTION("""COMPUTED_VALUE"""),220.0)</f>
        <v>220</v>
      </c>
      <c r="Q608" s="9" t="str">
        <f>IFERROR(__xludf.DUMMYFUNCTION("""COMPUTED_VALUE"""),"Q4'22")</f>
        <v>Q4'22</v>
      </c>
      <c r="R608" s="9">
        <f>IFERROR(__xludf.DUMMYFUNCTION("""COMPUTED_VALUE"""),2.5858689832815314)</f>
        <v>2.585868983</v>
      </c>
    </row>
    <row r="609" ht="14.25" customHeight="1">
      <c r="A609" s="3" t="s">
        <v>25</v>
      </c>
      <c r="B609" s="3" t="s">
        <v>11</v>
      </c>
      <c r="C609" s="3" t="s">
        <v>12</v>
      </c>
      <c r="D609" s="3" t="s">
        <v>28</v>
      </c>
      <c r="E609" s="3" t="s">
        <v>29</v>
      </c>
      <c r="F609" s="3">
        <v>220.0</v>
      </c>
      <c r="G609" s="4" t="s">
        <v>19</v>
      </c>
      <c r="H609" s="3">
        <v>1.2266842780319558</v>
      </c>
      <c r="K609" s="9" t="str">
        <f>IFERROR(__xludf.DUMMYFUNCTION("""COMPUTED_VALUE"""),"TT Off South")</f>
        <v>TT Off South</v>
      </c>
      <c r="L609" s="9" t="str">
        <f>IFERROR(__xludf.DUMMYFUNCTION("""COMPUTED_VALUE"""),"Elite")</f>
        <v>Elite</v>
      </c>
      <c r="M609" s="9" t="str">
        <f>IFERROR(__xludf.DUMMYFUNCTION("""COMPUTED_VALUE"""),"Unami")</f>
        <v>Unami</v>
      </c>
      <c r="N609" s="9" t="str">
        <f>IFERROR(__xludf.DUMMYFUNCTION("""COMPUTED_VALUE"""),"Chocolate")</f>
        <v>Chocolate</v>
      </c>
      <c r="O609" s="9" t="str">
        <f>IFERROR(__xludf.DUMMYFUNCTION("""COMPUTED_VALUE"""),"TFA")</f>
        <v>TFA</v>
      </c>
      <c r="P609" s="9">
        <f>IFERROR(__xludf.DUMMYFUNCTION("""COMPUTED_VALUE"""),220.0)</f>
        <v>220</v>
      </c>
      <c r="Q609" s="9" t="str">
        <f>IFERROR(__xludf.DUMMYFUNCTION("""COMPUTED_VALUE"""),"Q1'23")</f>
        <v>Q1'23</v>
      </c>
      <c r="R609" s="9">
        <f>IFERROR(__xludf.DUMMYFUNCTION("""COMPUTED_VALUE"""),2.4424650997679405)</f>
        <v>2.4424651</v>
      </c>
    </row>
    <row r="610" ht="14.25" customHeight="1">
      <c r="A610" s="3" t="s">
        <v>25</v>
      </c>
      <c r="B610" s="3" t="s">
        <v>11</v>
      </c>
      <c r="C610" s="3" t="s">
        <v>12</v>
      </c>
      <c r="D610" s="3" t="s">
        <v>28</v>
      </c>
      <c r="E610" s="3" t="s">
        <v>29</v>
      </c>
      <c r="F610" s="3">
        <v>220.0</v>
      </c>
      <c r="G610" s="4" t="s">
        <v>20</v>
      </c>
      <c r="H610" s="3">
        <v>1.296050453704693</v>
      </c>
      <c r="K610" s="9" t="str">
        <f>IFERROR(__xludf.DUMMYFUNCTION("""COMPUTED_VALUE"""),"TT Off South")</f>
        <v>TT Off South</v>
      </c>
      <c r="L610" s="9" t="str">
        <f>IFERROR(__xludf.DUMMYFUNCTION("""COMPUTED_VALUE"""),"Elite")</f>
        <v>Elite</v>
      </c>
      <c r="M610" s="9" t="str">
        <f>IFERROR(__xludf.DUMMYFUNCTION("""COMPUTED_VALUE"""),"Unami")</f>
        <v>Unami</v>
      </c>
      <c r="N610" s="9" t="str">
        <f>IFERROR(__xludf.DUMMYFUNCTION("""COMPUTED_VALUE"""),"Chocolate")</f>
        <v>Chocolate</v>
      </c>
      <c r="O610" s="9" t="str">
        <f>IFERROR(__xludf.DUMMYFUNCTION("""COMPUTED_VALUE"""),"TFA")</f>
        <v>TFA</v>
      </c>
      <c r="P610" s="9">
        <f>IFERROR(__xludf.DUMMYFUNCTION("""COMPUTED_VALUE"""),220.0)</f>
        <v>220</v>
      </c>
      <c r="Q610" s="9" t="str">
        <f>IFERROR(__xludf.DUMMYFUNCTION("""COMPUTED_VALUE"""),"Q2'23")</f>
        <v>Q2'23</v>
      </c>
      <c r="R610" s="9">
        <f>IFERROR(__xludf.DUMMYFUNCTION("""COMPUTED_VALUE"""),2.32017721119468)</f>
        <v>2.320177211</v>
      </c>
    </row>
    <row r="611" ht="14.25" customHeight="1">
      <c r="A611" s="3" t="s">
        <v>25</v>
      </c>
      <c r="B611" s="3" t="s">
        <v>11</v>
      </c>
      <c r="C611" s="3" t="s">
        <v>12</v>
      </c>
      <c r="D611" s="3" t="s">
        <v>28</v>
      </c>
      <c r="E611" s="3" t="s">
        <v>29</v>
      </c>
      <c r="F611" s="3">
        <v>220.0</v>
      </c>
      <c r="G611" s="4" t="s">
        <v>21</v>
      </c>
      <c r="H611" s="3">
        <v>1.3404861213362502</v>
      </c>
      <c r="K611" s="9" t="str">
        <f>IFERROR(__xludf.DUMMYFUNCTION("""COMPUTED_VALUE"""),"TT Off South")</f>
        <v>TT Off South</v>
      </c>
      <c r="L611" s="9" t="str">
        <f>IFERROR(__xludf.DUMMYFUNCTION("""COMPUTED_VALUE"""),"Elite")</f>
        <v>Elite</v>
      </c>
      <c r="M611" s="9" t="str">
        <f>IFERROR(__xludf.DUMMYFUNCTION("""COMPUTED_VALUE"""),"Unami")</f>
        <v>Unami</v>
      </c>
      <c r="N611" s="9" t="str">
        <f>IFERROR(__xludf.DUMMYFUNCTION("""COMPUTED_VALUE"""),"Chocolate")</f>
        <v>Chocolate</v>
      </c>
      <c r="O611" s="9" t="str">
        <f>IFERROR(__xludf.DUMMYFUNCTION("""COMPUTED_VALUE"""),"TFA")</f>
        <v>TFA</v>
      </c>
      <c r="P611" s="9">
        <f>IFERROR(__xludf.DUMMYFUNCTION("""COMPUTED_VALUE"""),220.0)</f>
        <v>220</v>
      </c>
      <c r="Q611" s="9" t="str">
        <f>IFERROR(__xludf.DUMMYFUNCTION("""COMPUTED_VALUE"""),"Q3'23")</f>
        <v>Q3'23</v>
      </c>
      <c r="R611" s="9">
        <f>IFERROR(__xludf.DUMMYFUNCTION("""COMPUTED_VALUE"""),2.4971962924160134)</f>
        <v>2.497196292</v>
      </c>
    </row>
    <row r="612" ht="14.25" customHeight="1">
      <c r="A612" s="3" t="s">
        <v>25</v>
      </c>
      <c r="B612" s="3" t="s">
        <v>11</v>
      </c>
      <c r="C612" s="3" t="s">
        <v>12</v>
      </c>
      <c r="D612" s="3" t="s">
        <v>28</v>
      </c>
      <c r="E612" s="3" t="s">
        <v>29</v>
      </c>
      <c r="F612" s="3">
        <v>220.0</v>
      </c>
      <c r="G612" s="4" t="s">
        <v>22</v>
      </c>
      <c r="H612" s="3">
        <v>1.2247265821566973</v>
      </c>
      <c r="K612" s="9" t="str">
        <f>IFERROR(__xludf.DUMMYFUNCTION("""COMPUTED_VALUE"""),"TT Off South")</f>
        <v>TT Off South</v>
      </c>
      <c r="L612" s="9" t="str">
        <f>IFERROR(__xludf.DUMMYFUNCTION("""COMPUTED_VALUE"""),"Elite")</f>
        <v>Elite</v>
      </c>
      <c r="M612" s="9" t="str">
        <f>IFERROR(__xludf.DUMMYFUNCTION("""COMPUTED_VALUE"""),"Unami")</f>
        <v>Unami</v>
      </c>
      <c r="N612" s="9" t="str">
        <f>IFERROR(__xludf.DUMMYFUNCTION("""COMPUTED_VALUE"""),"Chocolate")</f>
        <v>Chocolate</v>
      </c>
      <c r="O612" s="9" t="str">
        <f>IFERROR(__xludf.DUMMYFUNCTION("""COMPUTED_VALUE"""),"TFA")</f>
        <v>TFA</v>
      </c>
      <c r="P612" s="9">
        <f>IFERROR(__xludf.DUMMYFUNCTION("""COMPUTED_VALUE"""),220.0)</f>
        <v>220</v>
      </c>
      <c r="Q612" s="9" t="str">
        <f>IFERROR(__xludf.DUMMYFUNCTION("""COMPUTED_VALUE"""),"Q4'23")</f>
        <v>Q4'23</v>
      </c>
      <c r="R612" s="9">
        <f>IFERROR(__xludf.DUMMYFUNCTION("""COMPUTED_VALUE"""),2.4682411602524232)</f>
        <v>2.46824116</v>
      </c>
    </row>
    <row r="613" ht="14.25" customHeight="1">
      <c r="A613" s="3" t="s">
        <v>25</v>
      </c>
      <c r="B613" s="3" t="s">
        <v>11</v>
      </c>
      <c r="C613" s="3" t="s">
        <v>12</v>
      </c>
      <c r="D613" s="3" t="s">
        <v>30</v>
      </c>
      <c r="E613" s="3" t="s">
        <v>29</v>
      </c>
      <c r="F613" s="3">
        <v>220.0</v>
      </c>
      <c r="G613" s="4" t="s">
        <v>15</v>
      </c>
      <c r="H613" s="3">
        <v>4.448854927393816</v>
      </c>
      <c r="K613" s="9" t="str">
        <f>IFERROR(__xludf.DUMMYFUNCTION("""COMPUTED_VALUE"""),"TT Off South")</f>
        <v>TT Off South</v>
      </c>
      <c r="L613" s="9" t="str">
        <f>IFERROR(__xludf.DUMMYFUNCTION("""COMPUTED_VALUE"""),"Elite")</f>
        <v>Elite</v>
      </c>
      <c r="M613" s="9" t="str">
        <f>IFERROR(__xludf.DUMMYFUNCTION("""COMPUTED_VALUE"""),"Unami")</f>
        <v>Unami</v>
      </c>
      <c r="N613" s="9" t="str">
        <f>IFERROR(__xludf.DUMMYFUNCTION("""COMPUTED_VALUE"""),"Plain")</f>
        <v>Plain</v>
      </c>
      <c r="O613" s="9" t="str">
        <f>IFERROR(__xludf.DUMMYFUNCTION("""COMPUTED_VALUE"""),"TFA")</f>
        <v>TFA</v>
      </c>
      <c r="P613" s="9">
        <f>IFERROR(__xludf.DUMMYFUNCTION("""COMPUTED_VALUE"""),220.0)</f>
        <v>220</v>
      </c>
      <c r="Q613" s="9" t="str">
        <f>IFERROR(__xludf.DUMMYFUNCTION("""COMPUTED_VALUE"""),"Q1'22")</f>
        <v>Q1'22</v>
      </c>
      <c r="R613" s="9">
        <f>IFERROR(__xludf.DUMMYFUNCTION("""COMPUTED_VALUE"""),5.456243712835496)</f>
        <v>5.456243713</v>
      </c>
    </row>
    <row r="614" ht="14.25" customHeight="1">
      <c r="A614" s="3" t="s">
        <v>25</v>
      </c>
      <c r="B614" s="3" t="s">
        <v>11</v>
      </c>
      <c r="C614" s="3" t="s">
        <v>12</v>
      </c>
      <c r="D614" s="3" t="s">
        <v>30</v>
      </c>
      <c r="E614" s="3" t="s">
        <v>29</v>
      </c>
      <c r="F614" s="3">
        <v>220.0</v>
      </c>
      <c r="G614" s="4" t="s">
        <v>16</v>
      </c>
      <c r="H614" s="3">
        <v>4.4835211726223925</v>
      </c>
      <c r="K614" s="9" t="str">
        <f>IFERROR(__xludf.DUMMYFUNCTION("""COMPUTED_VALUE"""),"TT Off South")</f>
        <v>TT Off South</v>
      </c>
      <c r="L614" s="9" t="str">
        <f>IFERROR(__xludf.DUMMYFUNCTION("""COMPUTED_VALUE"""),"Elite")</f>
        <v>Elite</v>
      </c>
      <c r="M614" s="9" t="str">
        <f>IFERROR(__xludf.DUMMYFUNCTION("""COMPUTED_VALUE"""),"Unami")</f>
        <v>Unami</v>
      </c>
      <c r="N614" s="9" t="str">
        <f>IFERROR(__xludf.DUMMYFUNCTION("""COMPUTED_VALUE"""),"Plain")</f>
        <v>Plain</v>
      </c>
      <c r="O614" s="9" t="str">
        <f>IFERROR(__xludf.DUMMYFUNCTION("""COMPUTED_VALUE"""),"TFA")</f>
        <v>TFA</v>
      </c>
      <c r="P614" s="9">
        <f>IFERROR(__xludf.DUMMYFUNCTION("""COMPUTED_VALUE"""),220.0)</f>
        <v>220</v>
      </c>
      <c r="Q614" s="9" t="str">
        <f>IFERROR(__xludf.DUMMYFUNCTION("""COMPUTED_VALUE"""),"Q2'22")</f>
        <v>Q2'22</v>
      </c>
      <c r="R614" s="9">
        <f>IFERROR(__xludf.DUMMYFUNCTION("""COMPUTED_VALUE"""),5.501062983264447)</f>
        <v>5.501062983</v>
      </c>
    </row>
    <row r="615" ht="14.25" customHeight="1">
      <c r="A615" s="3" t="s">
        <v>25</v>
      </c>
      <c r="B615" s="3" t="s">
        <v>11</v>
      </c>
      <c r="C615" s="3" t="s">
        <v>12</v>
      </c>
      <c r="D615" s="3" t="s">
        <v>30</v>
      </c>
      <c r="E615" s="3" t="s">
        <v>29</v>
      </c>
      <c r="F615" s="3">
        <v>220.0</v>
      </c>
      <c r="G615" s="4" t="s">
        <v>17</v>
      </c>
      <c r="H615" s="3">
        <v>4.467957806514812</v>
      </c>
      <c r="K615" s="9" t="str">
        <f>IFERROR(__xludf.DUMMYFUNCTION("""COMPUTED_VALUE"""),"TT Off South")</f>
        <v>TT Off South</v>
      </c>
      <c r="L615" s="9" t="str">
        <f>IFERROR(__xludf.DUMMYFUNCTION("""COMPUTED_VALUE"""),"Elite")</f>
        <v>Elite</v>
      </c>
      <c r="M615" s="9" t="str">
        <f>IFERROR(__xludf.DUMMYFUNCTION("""COMPUTED_VALUE"""),"Unami")</f>
        <v>Unami</v>
      </c>
      <c r="N615" s="9" t="str">
        <f>IFERROR(__xludf.DUMMYFUNCTION("""COMPUTED_VALUE"""),"Plain")</f>
        <v>Plain</v>
      </c>
      <c r="O615" s="9" t="str">
        <f>IFERROR(__xludf.DUMMYFUNCTION("""COMPUTED_VALUE"""),"TFA")</f>
        <v>TFA</v>
      </c>
      <c r="P615" s="9">
        <f>IFERROR(__xludf.DUMMYFUNCTION("""COMPUTED_VALUE"""),220.0)</f>
        <v>220</v>
      </c>
      <c r="Q615" s="9" t="str">
        <f>IFERROR(__xludf.DUMMYFUNCTION("""COMPUTED_VALUE"""),"Q3'22")</f>
        <v>Q3'22</v>
      </c>
      <c r="R615" s="9">
        <f>IFERROR(__xludf.DUMMYFUNCTION("""COMPUTED_VALUE"""),5.436748970118554)</f>
        <v>5.43674897</v>
      </c>
    </row>
    <row r="616" ht="14.25" customHeight="1">
      <c r="A616" s="3" t="s">
        <v>25</v>
      </c>
      <c r="B616" s="3" t="s">
        <v>11</v>
      </c>
      <c r="C616" s="3" t="s">
        <v>12</v>
      </c>
      <c r="D616" s="3" t="s">
        <v>30</v>
      </c>
      <c r="E616" s="3" t="s">
        <v>29</v>
      </c>
      <c r="F616" s="3">
        <v>220.0</v>
      </c>
      <c r="G616" s="4" t="s">
        <v>18</v>
      </c>
      <c r="H616" s="3">
        <v>4.7170002861974485</v>
      </c>
      <c r="K616" s="9" t="str">
        <f>IFERROR(__xludf.DUMMYFUNCTION("""COMPUTED_VALUE"""),"TT Off South")</f>
        <v>TT Off South</v>
      </c>
      <c r="L616" s="9" t="str">
        <f>IFERROR(__xludf.DUMMYFUNCTION("""COMPUTED_VALUE"""),"Elite")</f>
        <v>Elite</v>
      </c>
      <c r="M616" s="9" t="str">
        <f>IFERROR(__xludf.DUMMYFUNCTION("""COMPUTED_VALUE"""),"Unami")</f>
        <v>Unami</v>
      </c>
      <c r="N616" s="9" t="str">
        <f>IFERROR(__xludf.DUMMYFUNCTION("""COMPUTED_VALUE"""),"Plain")</f>
        <v>Plain</v>
      </c>
      <c r="O616" s="9" t="str">
        <f>IFERROR(__xludf.DUMMYFUNCTION("""COMPUTED_VALUE"""),"TFA")</f>
        <v>TFA</v>
      </c>
      <c r="P616" s="9">
        <f>IFERROR(__xludf.DUMMYFUNCTION("""COMPUTED_VALUE"""),220.0)</f>
        <v>220</v>
      </c>
      <c r="Q616" s="9" t="str">
        <f>IFERROR(__xludf.DUMMYFUNCTION("""COMPUTED_VALUE"""),"Q4'22")</f>
        <v>Q4'22</v>
      </c>
      <c r="R616" s="9">
        <f>IFERROR(__xludf.DUMMYFUNCTION("""COMPUTED_VALUE"""),5.900014361886823)</f>
        <v>5.900014362</v>
      </c>
    </row>
    <row r="617" ht="14.25" customHeight="1">
      <c r="A617" s="3" t="s">
        <v>25</v>
      </c>
      <c r="B617" s="3" t="s">
        <v>11</v>
      </c>
      <c r="C617" s="3" t="s">
        <v>12</v>
      </c>
      <c r="D617" s="3" t="s">
        <v>30</v>
      </c>
      <c r="E617" s="3" t="s">
        <v>29</v>
      </c>
      <c r="F617" s="3">
        <v>220.0</v>
      </c>
      <c r="G617" s="4" t="s">
        <v>19</v>
      </c>
      <c r="H617" s="3">
        <v>4.400438349620923</v>
      </c>
      <c r="K617" s="9" t="str">
        <f>IFERROR(__xludf.DUMMYFUNCTION("""COMPUTED_VALUE"""),"TT Off South")</f>
        <v>TT Off South</v>
      </c>
      <c r="L617" s="9" t="str">
        <f>IFERROR(__xludf.DUMMYFUNCTION("""COMPUTED_VALUE"""),"Elite")</f>
        <v>Elite</v>
      </c>
      <c r="M617" s="9" t="str">
        <f>IFERROR(__xludf.DUMMYFUNCTION("""COMPUTED_VALUE"""),"Unami")</f>
        <v>Unami</v>
      </c>
      <c r="N617" s="9" t="str">
        <f>IFERROR(__xludf.DUMMYFUNCTION("""COMPUTED_VALUE"""),"Plain")</f>
        <v>Plain</v>
      </c>
      <c r="O617" s="9" t="str">
        <f>IFERROR(__xludf.DUMMYFUNCTION("""COMPUTED_VALUE"""),"TFA")</f>
        <v>TFA</v>
      </c>
      <c r="P617" s="9">
        <f>IFERROR(__xludf.DUMMYFUNCTION("""COMPUTED_VALUE"""),220.0)</f>
        <v>220</v>
      </c>
      <c r="Q617" s="9" t="str">
        <f>IFERROR(__xludf.DUMMYFUNCTION("""COMPUTED_VALUE"""),"Q1'23")</f>
        <v>Q1'23</v>
      </c>
      <c r="R617" s="9">
        <f>IFERROR(__xludf.DUMMYFUNCTION("""COMPUTED_VALUE"""),5.944358233970017)</f>
        <v>5.944358234</v>
      </c>
    </row>
    <row r="618" ht="14.25" customHeight="1">
      <c r="A618" s="3" t="s">
        <v>25</v>
      </c>
      <c r="B618" s="3" t="s">
        <v>11</v>
      </c>
      <c r="C618" s="3" t="s">
        <v>12</v>
      </c>
      <c r="D618" s="3" t="s">
        <v>30</v>
      </c>
      <c r="E618" s="3" t="s">
        <v>29</v>
      </c>
      <c r="F618" s="3">
        <v>220.0</v>
      </c>
      <c r="G618" s="4" t="s">
        <v>20</v>
      </c>
      <c r="H618" s="3">
        <v>4.507563866124139</v>
      </c>
      <c r="K618" s="9" t="str">
        <f>IFERROR(__xludf.DUMMYFUNCTION("""COMPUTED_VALUE"""),"TT Off South")</f>
        <v>TT Off South</v>
      </c>
      <c r="L618" s="9" t="str">
        <f>IFERROR(__xludf.DUMMYFUNCTION("""COMPUTED_VALUE"""),"Elite")</f>
        <v>Elite</v>
      </c>
      <c r="M618" s="9" t="str">
        <f>IFERROR(__xludf.DUMMYFUNCTION("""COMPUTED_VALUE"""),"Unami")</f>
        <v>Unami</v>
      </c>
      <c r="N618" s="9" t="str">
        <f>IFERROR(__xludf.DUMMYFUNCTION("""COMPUTED_VALUE"""),"Plain")</f>
        <v>Plain</v>
      </c>
      <c r="O618" s="9" t="str">
        <f>IFERROR(__xludf.DUMMYFUNCTION("""COMPUTED_VALUE"""),"TFA")</f>
        <v>TFA</v>
      </c>
      <c r="P618" s="9">
        <f>IFERROR(__xludf.DUMMYFUNCTION("""COMPUTED_VALUE"""),220.0)</f>
        <v>220</v>
      </c>
      <c r="Q618" s="9" t="str">
        <f>IFERROR(__xludf.DUMMYFUNCTION("""COMPUTED_VALUE"""),"Q2'23")</f>
        <v>Q2'23</v>
      </c>
      <c r="R618" s="9">
        <f>IFERROR(__xludf.DUMMYFUNCTION("""COMPUTED_VALUE"""),5.600497816990516)</f>
        <v>5.600497817</v>
      </c>
    </row>
    <row r="619" ht="14.25" customHeight="1">
      <c r="A619" s="3" t="s">
        <v>25</v>
      </c>
      <c r="B619" s="3" t="s">
        <v>11</v>
      </c>
      <c r="C619" s="3" t="s">
        <v>12</v>
      </c>
      <c r="D619" s="3" t="s">
        <v>30</v>
      </c>
      <c r="E619" s="3" t="s">
        <v>29</v>
      </c>
      <c r="F619" s="3">
        <v>220.0</v>
      </c>
      <c r="G619" s="4" t="s">
        <v>21</v>
      </c>
      <c r="H619" s="3">
        <v>4.35961528590235</v>
      </c>
      <c r="K619" s="9" t="str">
        <f>IFERROR(__xludf.DUMMYFUNCTION("""COMPUTED_VALUE"""),"TT Off South")</f>
        <v>TT Off South</v>
      </c>
      <c r="L619" s="9" t="str">
        <f>IFERROR(__xludf.DUMMYFUNCTION("""COMPUTED_VALUE"""),"Elite")</f>
        <v>Elite</v>
      </c>
      <c r="M619" s="9" t="str">
        <f>IFERROR(__xludf.DUMMYFUNCTION("""COMPUTED_VALUE"""),"Unami")</f>
        <v>Unami</v>
      </c>
      <c r="N619" s="9" t="str">
        <f>IFERROR(__xludf.DUMMYFUNCTION("""COMPUTED_VALUE"""),"Plain")</f>
        <v>Plain</v>
      </c>
      <c r="O619" s="9" t="str">
        <f>IFERROR(__xludf.DUMMYFUNCTION("""COMPUTED_VALUE"""),"TFA")</f>
        <v>TFA</v>
      </c>
      <c r="P619" s="9">
        <f>IFERROR(__xludf.DUMMYFUNCTION("""COMPUTED_VALUE"""),220.0)</f>
        <v>220</v>
      </c>
      <c r="Q619" s="9" t="str">
        <f>IFERROR(__xludf.DUMMYFUNCTION("""COMPUTED_VALUE"""),"Q3'23")</f>
        <v>Q3'23</v>
      </c>
      <c r="R619" s="9">
        <f>IFERROR(__xludf.DUMMYFUNCTION("""COMPUTED_VALUE"""),5.815717106142515)</f>
        <v>5.815717106</v>
      </c>
    </row>
    <row r="620" ht="14.25" customHeight="1">
      <c r="A620" s="3" t="s">
        <v>25</v>
      </c>
      <c r="B620" s="3" t="s">
        <v>11</v>
      </c>
      <c r="C620" s="3" t="s">
        <v>12</v>
      </c>
      <c r="D620" s="3" t="s">
        <v>30</v>
      </c>
      <c r="E620" s="3" t="s">
        <v>29</v>
      </c>
      <c r="F620" s="3">
        <v>220.0</v>
      </c>
      <c r="G620" s="4" t="s">
        <v>22</v>
      </c>
      <c r="H620" s="3">
        <v>4.380539137467842</v>
      </c>
      <c r="K620" s="9" t="str">
        <f>IFERROR(__xludf.DUMMYFUNCTION("""COMPUTED_VALUE"""),"TT Off South")</f>
        <v>TT Off South</v>
      </c>
      <c r="L620" s="9" t="str">
        <f>IFERROR(__xludf.DUMMYFUNCTION("""COMPUTED_VALUE"""),"Elite")</f>
        <v>Elite</v>
      </c>
      <c r="M620" s="9" t="str">
        <f>IFERROR(__xludf.DUMMYFUNCTION("""COMPUTED_VALUE"""),"Unami")</f>
        <v>Unami</v>
      </c>
      <c r="N620" s="9" t="str">
        <f>IFERROR(__xludf.DUMMYFUNCTION("""COMPUTED_VALUE"""),"Plain")</f>
        <v>Plain</v>
      </c>
      <c r="O620" s="9" t="str">
        <f>IFERROR(__xludf.DUMMYFUNCTION("""COMPUTED_VALUE"""),"TFA")</f>
        <v>TFA</v>
      </c>
      <c r="P620" s="9">
        <f>IFERROR(__xludf.DUMMYFUNCTION("""COMPUTED_VALUE"""),220.0)</f>
        <v>220</v>
      </c>
      <c r="Q620" s="9" t="str">
        <f>IFERROR(__xludf.DUMMYFUNCTION("""COMPUTED_VALUE"""),"Q4'23")</f>
        <v>Q4'23</v>
      </c>
      <c r="R620" s="9">
        <f>IFERROR(__xludf.DUMMYFUNCTION("""COMPUTED_VALUE"""),5.336771282471147)</f>
        <v>5.336771282</v>
      </c>
    </row>
    <row r="621" ht="14.25" customHeight="1">
      <c r="A621" s="3" t="s">
        <v>25</v>
      </c>
      <c r="B621" s="3" t="s">
        <v>11</v>
      </c>
      <c r="C621" s="3" t="s">
        <v>12</v>
      </c>
      <c r="D621" s="3" t="s">
        <v>31</v>
      </c>
      <c r="E621" s="3" t="s">
        <v>29</v>
      </c>
      <c r="F621" s="3">
        <v>220.0</v>
      </c>
      <c r="G621" s="4" t="s">
        <v>15</v>
      </c>
      <c r="H621" s="3">
        <v>0.3442797455460417</v>
      </c>
      <c r="K621" s="9" t="str">
        <f>IFERROR(__xludf.DUMMYFUNCTION("""COMPUTED_VALUE"""),"TT Off South")</f>
        <v>TT Off South</v>
      </c>
      <c r="L621" s="9" t="str">
        <f>IFERROR(__xludf.DUMMYFUNCTION("""COMPUTED_VALUE"""),"Elite")</f>
        <v>Elite</v>
      </c>
      <c r="M621" s="9" t="str">
        <f>IFERROR(__xludf.DUMMYFUNCTION("""COMPUTED_VALUE"""),"Unami")</f>
        <v>Unami</v>
      </c>
      <c r="N621" s="9" t="str">
        <f>IFERROR(__xludf.DUMMYFUNCTION("""COMPUTED_VALUE"""),"Strawberry")</f>
        <v>Strawberry</v>
      </c>
      <c r="O621" s="9" t="str">
        <f>IFERROR(__xludf.DUMMYFUNCTION("""COMPUTED_VALUE"""),"TFA")</f>
        <v>TFA</v>
      </c>
      <c r="P621" s="9">
        <f>IFERROR(__xludf.DUMMYFUNCTION("""COMPUTED_VALUE"""),220.0)</f>
        <v>220</v>
      </c>
      <c r="Q621" s="9" t="str">
        <f>IFERROR(__xludf.DUMMYFUNCTION("""COMPUTED_VALUE"""),"Q1'22")</f>
        <v>Q1'22</v>
      </c>
      <c r="R621" s="9">
        <f>IFERROR(__xludf.DUMMYFUNCTION("""COMPUTED_VALUE"""),1.7975378646036857)</f>
        <v>1.797537865</v>
      </c>
    </row>
    <row r="622" ht="14.25" customHeight="1">
      <c r="A622" s="3" t="s">
        <v>25</v>
      </c>
      <c r="B622" s="3" t="s">
        <v>11</v>
      </c>
      <c r="C622" s="3" t="s">
        <v>12</v>
      </c>
      <c r="D622" s="3" t="s">
        <v>31</v>
      </c>
      <c r="E622" s="3" t="s">
        <v>29</v>
      </c>
      <c r="F622" s="3">
        <v>220.0</v>
      </c>
      <c r="G622" s="4" t="s">
        <v>16</v>
      </c>
      <c r="H622" s="3">
        <v>0.2961766137079289</v>
      </c>
      <c r="K622" s="9" t="str">
        <f>IFERROR(__xludf.DUMMYFUNCTION("""COMPUTED_VALUE"""),"TT Off South")</f>
        <v>TT Off South</v>
      </c>
      <c r="L622" s="9" t="str">
        <f>IFERROR(__xludf.DUMMYFUNCTION("""COMPUTED_VALUE"""),"Elite")</f>
        <v>Elite</v>
      </c>
      <c r="M622" s="9" t="str">
        <f>IFERROR(__xludf.DUMMYFUNCTION("""COMPUTED_VALUE"""),"Unami")</f>
        <v>Unami</v>
      </c>
      <c r="N622" s="9" t="str">
        <f>IFERROR(__xludf.DUMMYFUNCTION("""COMPUTED_VALUE"""),"Strawberry")</f>
        <v>Strawberry</v>
      </c>
      <c r="O622" s="9" t="str">
        <f>IFERROR(__xludf.DUMMYFUNCTION("""COMPUTED_VALUE"""),"TFA")</f>
        <v>TFA</v>
      </c>
      <c r="P622" s="9">
        <f>IFERROR(__xludf.DUMMYFUNCTION("""COMPUTED_VALUE"""),220.0)</f>
        <v>220</v>
      </c>
      <c r="Q622" s="9" t="str">
        <f>IFERROR(__xludf.DUMMYFUNCTION("""COMPUTED_VALUE"""),"Q2'22")</f>
        <v>Q2'22</v>
      </c>
      <c r="R622" s="9">
        <f>IFERROR(__xludf.DUMMYFUNCTION("""COMPUTED_VALUE"""),1.906562767771339)</f>
        <v>1.906562768</v>
      </c>
    </row>
    <row r="623" ht="14.25" customHeight="1">
      <c r="A623" s="3" t="s">
        <v>25</v>
      </c>
      <c r="B623" s="3" t="s">
        <v>11</v>
      </c>
      <c r="C623" s="3" t="s">
        <v>12</v>
      </c>
      <c r="D623" s="3" t="s">
        <v>31</v>
      </c>
      <c r="E623" s="3" t="s">
        <v>29</v>
      </c>
      <c r="F623" s="3">
        <v>220.0</v>
      </c>
      <c r="G623" s="4" t="s">
        <v>17</v>
      </c>
      <c r="H623" s="3">
        <v>0.37482887834285394</v>
      </c>
      <c r="K623" s="9" t="str">
        <f>IFERROR(__xludf.DUMMYFUNCTION("""COMPUTED_VALUE"""),"TT Off South")</f>
        <v>TT Off South</v>
      </c>
      <c r="L623" s="9" t="str">
        <f>IFERROR(__xludf.DUMMYFUNCTION("""COMPUTED_VALUE"""),"Elite")</f>
        <v>Elite</v>
      </c>
      <c r="M623" s="9" t="str">
        <f>IFERROR(__xludf.DUMMYFUNCTION("""COMPUTED_VALUE"""),"Unami")</f>
        <v>Unami</v>
      </c>
      <c r="N623" s="9" t="str">
        <f>IFERROR(__xludf.DUMMYFUNCTION("""COMPUTED_VALUE"""),"Strawberry")</f>
        <v>Strawberry</v>
      </c>
      <c r="O623" s="9" t="str">
        <f>IFERROR(__xludf.DUMMYFUNCTION("""COMPUTED_VALUE"""),"TFA")</f>
        <v>TFA</v>
      </c>
      <c r="P623" s="9">
        <f>IFERROR(__xludf.DUMMYFUNCTION("""COMPUTED_VALUE"""),220.0)</f>
        <v>220</v>
      </c>
      <c r="Q623" s="9" t="str">
        <f>IFERROR(__xludf.DUMMYFUNCTION("""COMPUTED_VALUE"""),"Q3'22")</f>
        <v>Q3'22</v>
      </c>
      <c r="R623" s="9">
        <f>IFERROR(__xludf.DUMMYFUNCTION("""COMPUTED_VALUE"""),1.888989941793065)</f>
        <v>1.888989942</v>
      </c>
    </row>
    <row r="624" ht="14.25" customHeight="1">
      <c r="A624" s="3" t="s">
        <v>25</v>
      </c>
      <c r="B624" s="3" t="s">
        <v>11</v>
      </c>
      <c r="C624" s="3" t="s">
        <v>12</v>
      </c>
      <c r="D624" s="3" t="s">
        <v>31</v>
      </c>
      <c r="E624" s="3" t="s">
        <v>29</v>
      </c>
      <c r="F624" s="3">
        <v>220.0</v>
      </c>
      <c r="G624" s="4" t="s">
        <v>18</v>
      </c>
      <c r="H624" s="3">
        <v>0.5710281099577896</v>
      </c>
      <c r="K624" s="9" t="str">
        <f>IFERROR(__xludf.DUMMYFUNCTION("""COMPUTED_VALUE"""),"TT Off South")</f>
        <v>TT Off South</v>
      </c>
      <c r="L624" s="9" t="str">
        <f>IFERROR(__xludf.DUMMYFUNCTION("""COMPUTED_VALUE"""),"Elite")</f>
        <v>Elite</v>
      </c>
      <c r="M624" s="9" t="str">
        <f>IFERROR(__xludf.DUMMYFUNCTION("""COMPUTED_VALUE"""),"Unami")</f>
        <v>Unami</v>
      </c>
      <c r="N624" s="9" t="str">
        <f>IFERROR(__xludf.DUMMYFUNCTION("""COMPUTED_VALUE"""),"Strawberry")</f>
        <v>Strawberry</v>
      </c>
      <c r="O624" s="9" t="str">
        <f>IFERROR(__xludf.DUMMYFUNCTION("""COMPUTED_VALUE"""),"TFA")</f>
        <v>TFA</v>
      </c>
      <c r="P624" s="9">
        <f>IFERROR(__xludf.DUMMYFUNCTION("""COMPUTED_VALUE"""),220.0)</f>
        <v>220</v>
      </c>
      <c r="Q624" s="9" t="str">
        <f>IFERROR(__xludf.DUMMYFUNCTION("""COMPUTED_VALUE"""),"Q4'22")</f>
        <v>Q4'22</v>
      </c>
      <c r="R624" s="9">
        <f>IFERROR(__xludf.DUMMYFUNCTION("""COMPUTED_VALUE"""),1.875126169424091)</f>
        <v>1.875126169</v>
      </c>
    </row>
    <row r="625" ht="14.25" customHeight="1">
      <c r="A625" s="3" t="s">
        <v>25</v>
      </c>
      <c r="B625" s="3" t="s">
        <v>11</v>
      </c>
      <c r="C625" s="3" t="s">
        <v>12</v>
      </c>
      <c r="D625" s="3" t="s">
        <v>31</v>
      </c>
      <c r="E625" s="3" t="s">
        <v>29</v>
      </c>
      <c r="F625" s="3">
        <v>220.0</v>
      </c>
      <c r="G625" s="4" t="s">
        <v>19</v>
      </c>
      <c r="H625" s="3">
        <v>0.6264282033759107</v>
      </c>
      <c r="K625" s="9" t="str">
        <f>IFERROR(__xludf.DUMMYFUNCTION("""COMPUTED_VALUE"""),"TT Off South")</f>
        <v>TT Off South</v>
      </c>
      <c r="L625" s="9" t="str">
        <f>IFERROR(__xludf.DUMMYFUNCTION("""COMPUTED_VALUE"""),"Elite")</f>
        <v>Elite</v>
      </c>
      <c r="M625" s="9" t="str">
        <f>IFERROR(__xludf.DUMMYFUNCTION("""COMPUTED_VALUE"""),"Unami")</f>
        <v>Unami</v>
      </c>
      <c r="N625" s="9" t="str">
        <f>IFERROR(__xludf.DUMMYFUNCTION("""COMPUTED_VALUE"""),"Strawberry")</f>
        <v>Strawberry</v>
      </c>
      <c r="O625" s="9" t="str">
        <f>IFERROR(__xludf.DUMMYFUNCTION("""COMPUTED_VALUE"""),"TFA")</f>
        <v>TFA</v>
      </c>
      <c r="P625" s="9">
        <f>IFERROR(__xludf.DUMMYFUNCTION("""COMPUTED_VALUE"""),220.0)</f>
        <v>220</v>
      </c>
      <c r="Q625" s="9" t="str">
        <f>IFERROR(__xludf.DUMMYFUNCTION("""COMPUTED_VALUE"""),"Q1'23")</f>
        <v>Q1'23</v>
      </c>
      <c r="R625" s="9">
        <f>IFERROR(__xludf.DUMMYFUNCTION("""COMPUTED_VALUE"""),2.008925090900119)</f>
        <v>2.008925091</v>
      </c>
    </row>
    <row r="626" ht="14.25" customHeight="1">
      <c r="A626" s="3" t="s">
        <v>25</v>
      </c>
      <c r="B626" s="3" t="s">
        <v>11</v>
      </c>
      <c r="C626" s="3" t="s">
        <v>12</v>
      </c>
      <c r="D626" s="3" t="s">
        <v>31</v>
      </c>
      <c r="E626" s="3" t="s">
        <v>29</v>
      </c>
      <c r="F626" s="3">
        <v>220.0</v>
      </c>
      <c r="G626" s="4" t="s">
        <v>20</v>
      </c>
      <c r="H626" s="3">
        <v>0.5407585907216979</v>
      </c>
      <c r="K626" s="9" t="str">
        <f>IFERROR(__xludf.DUMMYFUNCTION("""COMPUTED_VALUE"""),"TT Off South")</f>
        <v>TT Off South</v>
      </c>
      <c r="L626" s="9" t="str">
        <f>IFERROR(__xludf.DUMMYFUNCTION("""COMPUTED_VALUE"""),"Elite")</f>
        <v>Elite</v>
      </c>
      <c r="M626" s="9" t="str">
        <f>IFERROR(__xludf.DUMMYFUNCTION("""COMPUTED_VALUE"""),"Unami")</f>
        <v>Unami</v>
      </c>
      <c r="N626" s="9" t="str">
        <f>IFERROR(__xludf.DUMMYFUNCTION("""COMPUTED_VALUE"""),"Strawberry")</f>
        <v>Strawberry</v>
      </c>
      <c r="O626" s="9" t="str">
        <f>IFERROR(__xludf.DUMMYFUNCTION("""COMPUTED_VALUE"""),"TFA")</f>
        <v>TFA</v>
      </c>
      <c r="P626" s="9">
        <f>IFERROR(__xludf.DUMMYFUNCTION("""COMPUTED_VALUE"""),220.0)</f>
        <v>220</v>
      </c>
      <c r="Q626" s="9" t="str">
        <f>IFERROR(__xludf.DUMMYFUNCTION("""COMPUTED_VALUE"""),"Q2'23")</f>
        <v>Q2'23</v>
      </c>
      <c r="R626" s="9">
        <f>IFERROR(__xludf.DUMMYFUNCTION("""COMPUTED_VALUE"""),1.7889589307205693)</f>
        <v>1.788958931</v>
      </c>
    </row>
    <row r="627" ht="14.25" customHeight="1">
      <c r="A627" s="3" t="s">
        <v>25</v>
      </c>
      <c r="B627" s="3" t="s">
        <v>11</v>
      </c>
      <c r="C627" s="3" t="s">
        <v>12</v>
      </c>
      <c r="D627" s="3" t="s">
        <v>31</v>
      </c>
      <c r="E627" s="3" t="s">
        <v>29</v>
      </c>
      <c r="F627" s="3">
        <v>220.0</v>
      </c>
      <c r="G627" s="4" t="s">
        <v>21</v>
      </c>
      <c r="H627" s="3">
        <v>0.43433732122397617</v>
      </c>
      <c r="K627" s="9" t="str">
        <f>IFERROR(__xludf.DUMMYFUNCTION("""COMPUTED_VALUE"""),"TT Off South")</f>
        <v>TT Off South</v>
      </c>
      <c r="L627" s="9" t="str">
        <f>IFERROR(__xludf.DUMMYFUNCTION("""COMPUTED_VALUE"""),"Elite")</f>
        <v>Elite</v>
      </c>
      <c r="M627" s="9" t="str">
        <f>IFERROR(__xludf.DUMMYFUNCTION("""COMPUTED_VALUE"""),"Unami")</f>
        <v>Unami</v>
      </c>
      <c r="N627" s="9" t="str">
        <f>IFERROR(__xludf.DUMMYFUNCTION("""COMPUTED_VALUE"""),"Strawberry")</f>
        <v>Strawberry</v>
      </c>
      <c r="O627" s="9" t="str">
        <f>IFERROR(__xludf.DUMMYFUNCTION("""COMPUTED_VALUE"""),"TFA")</f>
        <v>TFA</v>
      </c>
      <c r="P627" s="9">
        <f>IFERROR(__xludf.DUMMYFUNCTION("""COMPUTED_VALUE"""),220.0)</f>
        <v>220</v>
      </c>
      <c r="Q627" s="9" t="str">
        <f>IFERROR(__xludf.DUMMYFUNCTION("""COMPUTED_VALUE"""),"Q3'23")</f>
        <v>Q3'23</v>
      </c>
      <c r="R627" s="9">
        <f>IFERROR(__xludf.DUMMYFUNCTION("""COMPUTED_VALUE"""),1.8049896531100367)</f>
        <v>1.804989653</v>
      </c>
    </row>
    <row r="628" ht="14.25" customHeight="1">
      <c r="A628" s="3" t="s">
        <v>25</v>
      </c>
      <c r="B628" s="3" t="s">
        <v>11</v>
      </c>
      <c r="C628" s="3" t="s">
        <v>12</v>
      </c>
      <c r="D628" s="3" t="s">
        <v>31</v>
      </c>
      <c r="E628" s="3" t="s">
        <v>29</v>
      </c>
      <c r="F628" s="3">
        <v>220.0</v>
      </c>
      <c r="G628" s="4" t="s">
        <v>22</v>
      </c>
      <c r="H628" s="3">
        <v>0.40585569796966414</v>
      </c>
      <c r="K628" s="9" t="str">
        <f>IFERROR(__xludf.DUMMYFUNCTION("""COMPUTED_VALUE"""),"TT Off South")</f>
        <v>TT Off South</v>
      </c>
      <c r="L628" s="9" t="str">
        <f>IFERROR(__xludf.DUMMYFUNCTION("""COMPUTED_VALUE"""),"Elite")</f>
        <v>Elite</v>
      </c>
      <c r="M628" s="9" t="str">
        <f>IFERROR(__xludf.DUMMYFUNCTION("""COMPUTED_VALUE"""),"Unami")</f>
        <v>Unami</v>
      </c>
      <c r="N628" s="9" t="str">
        <f>IFERROR(__xludf.DUMMYFUNCTION("""COMPUTED_VALUE"""),"Strawberry")</f>
        <v>Strawberry</v>
      </c>
      <c r="O628" s="9" t="str">
        <f>IFERROR(__xludf.DUMMYFUNCTION("""COMPUTED_VALUE"""),"TFA")</f>
        <v>TFA</v>
      </c>
      <c r="P628" s="9">
        <f>IFERROR(__xludf.DUMMYFUNCTION("""COMPUTED_VALUE"""),220.0)</f>
        <v>220</v>
      </c>
      <c r="Q628" s="9" t="str">
        <f>IFERROR(__xludf.DUMMYFUNCTION("""COMPUTED_VALUE"""),"Q4'23")</f>
        <v>Q4'23</v>
      </c>
      <c r="R628" s="9">
        <f>IFERROR(__xludf.DUMMYFUNCTION("""COMPUTED_VALUE"""),1.7346563944015427)</f>
        <v>1.734656394</v>
      </c>
    </row>
    <row r="629" ht="14.25" customHeight="1">
      <c r="A629" s="3" t="s">
        <v>25</v>
      </c>
      <c r="B629" s="3" t="s">
        <v>11</v>
      </c>
      <c r="C629" s="3" t="s">
        <v>12</v>
      </c>
      <c r="D629" s="3" t="s">
        <v>13</v>
      </c>
      <c r="E629" s="3" t="s">
        <v>14</v>
      </c>
      <c r="F629" s="3">
        <v>110.0</v>
      </c>
      <c r="G629" s="4" t="s">
        <v>15</v>
      </c>
      <c r="H629" s="3">
        <v>6.550091174993472</v>
      </c>
      <c r="K629" s="9" t="str">
        <f>IFERROR(__xludf.DUMMYFUNCTION("""COMPUTED_VALUE"""),"TT Off South")</f>
        <v>TT Off South</v>
      </c>
      <c r="L629" s="9" t="str">
        <f>IFERROR(__xludf.DUMMYFUNCTION("""COMPUTED_VALUE"""),"Elite")</f>
        <v>Elite</v>
      </c>
      <c r="M629" s="9" t="str">
        <f>IFERROR(__xludf.DUMMYFUNCTION("""COMPUTED_VALUE"""),"Unami")</f>
        <v>Unami</v>
      </c>
      <c r="N629" s="9" t="str">
        <f>IFERROR(__xludf.DUMMYFUNCTION("""COMPUTED_VALUE"""),"Sweetened")</f>
        <v>Sweetened</v>
      </c>
      <c r="O629" s="9" t="str">
        <f>IFERROR(__xludf.DUMMYFUNCTION("""COMPUTED_VALUE"""),"Carton")</f>
        <v>Carton</v>
      </c>
      <c r="P629" s="9">
        <f>IFERROR(__xludf.DUMMYFUNCTION("""COMPUTED_VALUE"""),110.0)</f>
        <v>110</v>
      </c>
      <c r="Q629" s="9" t="str">
        <f>IFERROR(__xludf.DUMMYFUNCTION("""COMPUTED_VALUE"""),"Q1'22")</f>
        <v>Q1'22</v>
      </c>
      <c r="R629" s="9">
        <f>IFERROR(__xludf.DUMMYFUNCTION("""COMPUTED_VALUE"""),3.6387882825162627)</f>
        <v>3.638788283</v>
      </c>
    </row>
    <row r="630" ht="14.25" customHeight="1">
      <c r="A630" s="3" t="s">
        <v>25</v>
      </c>
      <c r="B630" s="3" t="s">
        <v>11</v>
      </c>
      <c r="C630" s="3" t="s">
        <v>12</v>
      </c>
      <c r="D630" s="3" t="s">
        <v>13</v>
      </c>
      <c r="E630" s="3" t="s">
        <v>14</v>
      </c>
      <c r="F630" s="3">
        <v>110.0</v>
      </c>
      <c r="G630" s="4" t="s">
        <v>16</v>
      </c>
      <c r="H630" s="3">
        <v>5.449843229965444</v>
      </c>
      <c r="K630" s="9" t="str">
        <f>IFERROR(__xludf.DUMMYFUNCTION("""COMPUTED_VALUE"""),"TT Off South")</f>
        <v>TT Off South</v>
      </c>
      <c r="L630" s="9" t="str">
        <f>IFERROR(__xludf.DUMMYFUNCTION("""COMPUTED_VALUE"""),"Elite")</f>
        <v>Elite</v>
      </c>
      <c r="M630" s="9" t="str">
        <f>IFERROR(__xludf.DUMMYFUNCTION("""COMPUTED_VALUE"""),"Unami")</f>
        <v>Unami</v>
      </c>
      <c r="N630" s="9" t="str">
        <f>IFERROR(__xludf.DUMMYFUNCTION("""COMPUTED_VALUE"""),"Sweetened")</f>
        <v>Sweetened</v>
      </c>
      <c r="O630" s="9" t="str">
        <f>IFERROR(__xludf.DUMMYFUNCTION("""COMPUTED_VALUE"""),"Carton")</f>
        <v>Carton</v>
      </c>
      <c r="P630" s="9">
        <f>IFERROR(__xludf.DUMMYFUNCTION("""COMPUTED_VALUE"""),110.0)</f>
        <v>110</v>
      </c>
      <c r="Q630" s="9" t="str">
        <f>IFERROR(__xludf.DUMMYFUNCTION("""COMPUTED_VALUE"""),"Q2'22")</f>
        <v>Q2'22</v>
      </c>
      <c r="R630" s="9">
        <f>IFERROR(__xludf.DUMMYFUNCTION("""COMPUTED_VALUE"""),3.0823391316270037)</f>
        <v>3.082339132</v>
      </c>
    </row>
    <row r="631" ht="14.25" customHeight="1">
      <c r="A631" s="3" t="s">
        <v>25</v>
      </c>
      <c r="B631" s="3" t="s">
        <v>11</v>
      </c>
      <c r="C631" s="3" t="s">
        <v>12</v>
      </c>
      <c r="D631" s="3" t="s">
        <v>13</v>
      </c>
      <c r="E631" s="3" t="s">
        <v>14</v>
      </c>
      <c r="F631" s="3">
        <v>110.0</v>
      </c>
      <c r="G631" s="4" t="s">
        <v>17</v>
      </c>
      <c r="H631" s="3">
        <v>5.70786072762166</v>
      </c>
      <c r="K631" s="9" t="str">
        <f>IFERROR(__xludf.DUMMYFUNCTION("""COMPUTED_VALUE"""),"TT Off South")</f>
        <v>TT Off South</v>
      </c>
      <c r="L631" s="9" t="str">
        <f>IFERROR(__xludf.DUMMYFUNCTION("""COMPUTED_VALUE"""),"Elite")</f>
        <v>Elite</v>
      </c>
      <c r="M631" s="9" t="str">
        <f>IFERROR(__xludf.DUMMYFUNCTION("""COMPUTED_VALUE"""),"Unami")</f>
        <v>Unami</v>
      </c>
      <c r="N631" s="9" t="str">
        <f>IFERROR(__xludf.DUMMYFUNCTION("""COMPUTED_VALUE"""),"Sweetened")</f>
        <v>Sweetened</v>
      </c>
      <c r="O631" s="9" t="str">
        <f>IFERROR(__xludf.DUMMYFUNCTION("""COMPUTED_VALUE"""),"Carton")</f>
        <v>Carton</v>
      </c>
      <c r="P631" s="9">
        <f>IFERROR(__xludf.DUMMYFUNCTION("""COMPUTED_VALUE"""),110.0)</f>
        <v>110</v>
      </c>
      <c r="Q631" s="9" t="str">
        <f>IFERROR(__xludf.DUMMYFUNCTION("""COMPUTED_VALUE"""),"Q3'22")</f>
        <v>Q3'22</v>
      </c>
      <c r="R631" s="9">
        <f>IFERROR(__xludf.DUMMYFUNCTION("""COMPUTED_VALUE"""),3.1347111448085387)</f>
        <v>3.134711145</v>
      </c>
    </row>
    <row r="632" ht="14.25" customHeight="1">
      <c r="A632" s="3" t="s">
        <v>25</v>
      </c>
      <c r="B632" s="3" t="s">
        <v>11</v>
      </c>
      <c r="C632" s="3" t="s">
        <v>12</v>
      </c>
      <c r="D632" s="3" t="s">
        <v>13</v>
      </c>
      <c r="E632" s="3" t="s">
        <v>14</v>
      </c>
      <c r="F632" s="3">
        <v>110.0</v>
      </c>
      <c r="G632" s="4" t="s">
        <v>18</v>
      </c>
      <c r="H632" s="3">
        <v>5.345203790380664</v>
      </c>
      <c r="K632" s="9" t="str">
        <f>IFERROR(__xludf.DUMMYFUNCTION("""COMPUTED_VALUE"""),"TT Off South")</f>
        <v>TT Off South</v>
      </c>
      <c r="L632" s="9" t="str">
        <f>IFERROR(__xludf.DUMMYFUNCTION("""COMPUTED_VALUE"""),"Elite")</f>
        <v>Elite</v>
      </c>
      <c r="M632" s="9" t="str">
        <f>IFERROR(__xludf.DUMMYFUNCTION("""COMPUTED_VALUE"""),"Unami")</f>
        <v>Unami</v>
      </c>
      <c r="N632" s="9" t="str">
        <f>IFERROR(__xludf.DUMMYFUNCTION("""COMPUTED_VALUE"""),"Sweetened")</f>
        <v>Sweetened</v>
      </c>
      <c r="O632" s="9" t="str">
        <f>IFERROR(__xludf.DUMMYFUNCTION("""COMPUTED_VALUE"""),"Carton")</f>
        <v>Carton</v>
      </c>
      <c r="P632" s="9">
        <f>IFERROR(__xludf.DUMMYFUNCTION("""COMPUTED_VALUE"""),110.0)</f>
        <v>110</v>
      </c>
      <c r="Q632" s="9" t="str">
        <f>IFERROR(__xludf.DUMMYFUNCTION("""COMPUTED_VALUE"""),"Q4'22")</f>
        <v>Q4'22</v>
      </c>
      <c r="R632" s="9">
        <f>IFERROR(__xludf.DUMMYFUNCTION("""COMPUTED_VALUE"""),3.085934940743916)</f>
        <v>3.085934941</v>
      </c>
    </row>
    <row r="633" ht="14.25" customHeight="1">
      <c r="A633" s="3" t="s">
        <v>25</v>
      </c>
      <c r="B633" s="3" t="s">
        <v>11</v>
      </c>
      <c r="C633" s="3" t="s">
        <v>12</v>
      </c>
      <c r="D633" s="3" t="s">
        <v>13</v>
      </c>
      <c r="E633" s="3" t="s">
        <v>14</v>
      </c>
      <c r="F633" s="3">
        <v>110.0</v>
      </c>
      <c r="G633" s="4" t="s">
        <v>19</v>
      </c>
      <c r="H633" s="3">
        <v>4.611294268831101</v>
      </c>
      <c r="K633" s="9" t="str">
        <f>IFERROR(__xludf.DUMMYFUNCTION("""COMPUTED_VALUE"""),"TT Off South")</f>
        <v>TT Off South</v>
      </c>
      <c r="L633" s="9" t="str">
        <f>IFERROR(__xludf.DUMMYFUNCTION("""COMPUTED_VALUE"""),"Elite")</f>
        <v>Elite</v>
      </c>
      <c r="M633" s="9" t="str">
        <f>IFERROR(__xludf.DUMMYFUNCTION("""COMPUTED_VALUE"""),"Unami")</f>
        <v>Unami</v>
      </c>
      <c r="N633" s="9" t="str">
        <f>IFERROR(__xludf.DUMMYFUNCTION("""COMPUTED_VALUE"""),"Sweetened")</f>
        <v>Sweetened</v>
      </c>
      <c r="O633" s="9" t="str">
        <f>IFERROR(__xludf.DUMMYFUNCTION("""COMPUTED_VALUE"""),"Carton")</f>
        <v>Carton</v>
      </c>
      <c r="P633" s="9">
        <f>IFERROR(__xludf.DUMMYFUNCTION("""COMPUTED_VALUE"""),110.0)</f>
        <v>110</v>
      </c>
      <c r="Q633" s="9" t="str">
        <f>IFERROR(__xludf.DUMMYFUNCTION("""COMPUTED_VALUE"""),"Q1'23")</f>
        <v>Q1'23</v>
      </c>
      <c r="R633" s="9">
        <f>IFERROR(__xludf.DUMMYFUNCTION("""COMPUTED_VALUE"""),2.846071451657136)</f>
        <v>2.846071452</v>
      </c>
    </row>
    <row r="634" ht="14.25" customHeight="1">
      <c r="A634" s="3" t="s">
        <v>25</v>
      </c>
      <c r="B634" s="3" t="s">
        <v>11</v>
      </c>
      <c r="C634" s="3" t="s">
        <v>12</v>
      </c>
      <c r="D634" s="3" t="s">
        <v>13</v>
      </c>
      <c r="E634" s="3" t="s">
        <v>14</v>
      </c>
      <c r="F634" s="3">
        <v>110.0</v>
      </c>
      <c r="G634" s="4" t="s">
        <v>20</v>
      </c>
      <c r="H634" s="3">
        <v>4.045219936385669</v>
      </c>
      <c r="K634" s="9" t="str">
        <f>IFERROR(__xludf.DUMMYFUNCTION("""COMPUTED_VALUE"""),"TT Off South")</f>
        <v>TT Off South</v>
      </c>
      <c r="L634" s="9" t="str">
        <f>IFERROR(__xludf.DUMMYFUNCTION("""COMPUTED_VALUE"""),"Elite")</f>
        <v>Elite</v>
      </c>
      <c r="M634" s="9" t="str">
        <f>IFERROR(__xludf.DUMMYFUNCTION("""COMPUTED_VALUE"""),"Unami")</f>
        <v>Unami</v>
      </c>
      <c r="N634" s="9" t="str">
        <f>IFERROR(__xludf.DUMMYFUNCTION("""COMPUTED_VALUE"""),"Sweetened")</f>
        <v>Sweetened</v>
      </c>
      <c r="O634" s="9" t="str">
        <f>IFERROR(__xludf.DUMMYFUNCTION("""COMPUTED_VALUE"""),"Carton")</f>
        <v>Carton</v>
      </c>
      <c r="P634" s="9">
        <f>IFERROR(__xludf.DUMMYFUNCTION("""COMPUTED_VALUE"""),110.0)</f>
        <v>110</v>
      </c>
      <c r="Q634" s="9" t="str">
        <f>IFERROR(__xludf.DUMMYFUNCTION("""COMPUTED_VALUE"""),"Q2'23")</f>
        <v>Q2'23</v>
      </c>
      <c r="R634" s="9">
        <f>IFERROR(__xludf.DUMMYFUNCTION("""COMPUTED_VALUE"""),2.549086347006466)</f>
        <v>2.549086347</v>
      </c>
    </row>
    <row r="635" ht="14.25" customHeight="1">
      <c r="A635" s="3" t="s">
        <v>25</v>
      </c>
      <c r="B635" s="3" t="s">
        <v>11</v>
      </c>
      <c r="C635" s="3" t="s">
        <v>12</v>
      </c>
      <c r="D635" s="3" t="s">
        <v>13</v>
      </c>
      <c r="E635" s="3" t="s">
        <v>14</v>
      </c>
      <c r="F635" s="3">
        <v>110.0</v>
      </c>
      <c r="G635" s="4" t="s">
        <v>21</v>
      </c>
      <c r="H635" s="3">
        <v>4.15335399880698</v>
      </c>
      <c r="K635" s="9" t="str">
        <f>IFERROR(__xludf.DUMMYFUNCTION("""COMPUTED_VALUE"""),"TT Off South")</f>
        <v>TT Off South</v>
      </c>
      <c r="L635" s="9" t="str">
        <f>IFERROR(__xludf.DUMMYFUNCTION("""COMPUTED_VALUE"""),"Elite")</f>
        <v>Elite</v>
      </c>
      <c r="M635" s="9" t="str">
        <f>IFERROR(__xludf.DUMMYFUNCTION("""COMPUTED_VALUE"""),"Unami")</f>
        <v>Unami</v>
      </c>
      <c r="N635" s="9" t="str">
        <f>IFERROR(__xludf.DUMMYFUNCTION("""COMPUTED_VALUE"""),"Sweetened")</f>
        <v>Sweetened</v>
      </c>
      <c r="O635" s="9" t="str">
        <f>IFERROR(__xludf.DUMMYFUNCTION("""COMPUTED_VALUE"""),"Carton")</f>
        <v>Carton</v>
      </c>
      <c r="P635" s="9">
        <f>IFERROR(__xludf.DUMMYFUNCTION("""COMPUTED_VALUE"""),110.0)</f>
        <v>110</v>
      </c>
      <c r="Q635" s="9" t="str">
        <f>IFERROR(__xludf.DUMMYFUNCTION("""COMPUTED_VALUE"""),"Q3'23")</f>
        <v>Q3'23</v>
      </c>
      <c r="R635" s="9">
        <f>IFERROR(__xludf.DUMMYFUNCTION("""COMPUTED_VALUE"""),2.416287079127589)</f>
        <v>2.416287079</v>
      </c>
    </row>
    <row r="636" ht="14.25" customHeight="1">
      <c r="A636" s="3" t="s">
        <v>25</v>
      </c>
      <c r="B636" s="3" t="s">
        <v>11</v>
      </c>
      <c r="C636" s="3" t="s">
        <v>12</v>
      </c>
      <c r="D636" s="3" t="s">
        <v>13</v>
      </c>
      <c r="E636" s="3" t="s">
        <v>14</v>
      </c>
      <c r="F636" s="3">
        <v>110.0</v>
      </c>
      <c r="G636" s="4" t="s">
        <v>22</v>
      </c>
      <c r="H636" s="3">
        <v>4.255456702028827</v>
      </c>
      <c r="K636" s="9" t="str">
        <f>IFERROR(__xludf.DUMMYFUNCTION("""COMPUTED_VALUE"""),"TT Off South")</f>
        <v>TT Off South</v>
      </c>
      <c r="L636" s="9" t="str">
        <f>IFERROR(__xludf.DUMMYFUNCTION("""COMPUTED_VALUE"""),"Elite")</f>
        <v>Elite</v>
      </c>
      <c r="M636" s="9" t="str">
        <f>IFERROR(__xludf.DUMMYFUNCTION("""COMPUTED_VALUE"""),"Unami")</f>
        <v>Unami</v>
      </c>
      <c r="N636" s="9" t="str">
        <f>IFERROR(__xludf.DUMMYFUNCTION("""COMPUTED_VALUE"""),"Sweetened")</f>
        <v>Sweetened</v>
      </c>
      <c r="O636" s="9" t="str">
        <f>IFERROR(__xludf.DUMMYFUNCTION("""COMPUTED_VALUE"""),"Carton")</f>
        <v>Carton</v>
      </c>
      <c r="P636" s="9">
        <f>IFERROR(__xludf.DUMMYFUNCTION("""COMPUTED_VALUE"""),110.0)</f>
        <v>110</v>
      </c>
      <c r="Q636" s="9" t="str">
        <f>IFERROR(__xludf.DUMMYFUNCTION("""COMPUTED_VALUE"""),"Q4'23")</f>
        <v>Q4'23</v>
      </c>
      <c r="R636" s="9">
        <f>IFERROR(__xludf.DUMMYFUNCTION("""COMPUTED_VALUE"""),2.2292935774907083)</f>
        <v>2.229293577</v>
      </c>
    </row>
    <row r="637" ht="14.25" customHeight="1">
      <c r="A637" s="3" t="s">
        <v>25</v>
      </c>
      <c r="B637" s="3" t="s">
        <v>11</v>
      </c>
      <c r="C637" s="3" t="s">
        <v>12</v>
      </c>
      <c r="D637" s="3" t="s">
        <v>13</v>
      </c>
      <c r="E637" s="3" t="s">
        <v>14</v>
      </c>
      <c r="F637" s="3">
        <v>180.0</v>
      </c>
      <c r="G637" s="4" t="s">
        <v>15</v>
      </c>
      <c r="H637" s="3">
        <v>6.197727497955292</v>
      </c>
      <c r="K637" s="9" t="str">
        <f>IFERROR(__xludf.DUMMYFUNCTION("""COMPUTED_VALUE"""),"TT Off South")</f>
        <v>TT Off South</v>
      </c>
      <c r="L637" s="9" t="str">
        <f>IFERROR(__xludf.DUMMYFUNCTION("""COMPUTED_VALUE"""),"Elite")</f>
        <v>Elite</v>
      </c>
      <c r="M637" s="9" t="str">
        <f>IFERROR(__xludf.DUMMYFUNCTION("""COMPUTED_VALUE"""),"Unami")</f>
        <v>Unami</v>
      </c>
      <c r="N637" s="9" t="str">
        <f>IFERROR(__xludf.DUMMYFUNCTION("""COMPUTED_VALUE"""),"Sweetened")</f>
        <v>Sweetened</v>
      </c>
      <c r="O637" s="9" t="str">
        <f>IFERROR(__xludf.DUMMYFUNCTION("""COMPUTED_VALUE"""),"Carton")</f>
        <v>Carton</v>
      </c>
      <c r="P637" s="9">
        <f>IFERROR(__xludf.DUMMYFUNCTION("""COMPUTED_VALUE"""),180.0)</f>
        <v>180</v>
      </c>
      <c r="Q637" s="9" t="str">
        <f>IFERROR(__xludf.DUMMYFUNCTION("""COMPUTED_VALUE"""),"Q1'22")</f>
        <v>Q1'22</v>
      </c>
      <c r="R637" s="9">
        <f>IFERROR(__xludf.DUMMYFUNCTION("""COMPUTED_VALUE"""),4.6697491002142355)</f>
        <v>4.6697491</v>
      </c>
    </row>
    <row r="638" ht="14.25" customHeight="1">
      <c r="A638" s="3" t="s">
        <v>25</v>
      </c>
      <c r="B638" s="3" t="s">
        <v>11</v>
      </c>
      <c r="C638" s="3" t="s">
        <v>12</v>
      </c>
      <c r="D638" s="3" t="s">
        <v>13</v>
      </c>
      <c r="E638" s="3" t="s">
        <v>14</v>
      </c>
      <c r="F638" s="3">
        <v>180.0</v>
      </c>
      <c r="G638" s="4" t="s">
        <v>16</v>
      </c>
      <c r="H638" s="3">
        <v>5.420568806790217</v>
      </c>
      <c r="K638" s="9" t="str">
        <f>IFERROR(__xludf.DUMMYFUNCTION("""COMPUTED_VALUE"""),"TT Off South")</f>
        <v>TT Off South</v>
      </c>
      <c r="L638" s="9" t="str">
        <f>IFERROR(__xludf.DUMMYFUNCTION("""COMPUTED_VALUE"""),"Elite")</f>
        <v>Elite</v>
      </c>
      <c r="M638" s="9" t="str">
        <f>IFERROR(__xludf.DUMMYFUNCTION("""COMPUTED_VALUE"""),"Unami")</f>
        <v>Unami</v>
      </c>
      <c r="N638" s="9" t="str">
        <f>IFERROR(__xludf.DUMMYFUNCTION("""COMPUTED_VALUE"""),"Sweetened")</f>
        <v>Sweetened</v>
      </c>
      <c r="O638" s="9" t="str">
        <f>IFERROR(__xludf.DUMMYFUNCTION("""COMPUTED_VALUE"""),"Carton")</f>
        <v>Carton</v>
      </c>
      <c r="P638" s="9">
        <f>IFERROR(__xludf.DUMMYFUNCTION("""COMPUTED_VALUE"""),180.0)</f>
        <v>180</v>
      </c>
      <c r="Q638" s="9" t="str">
        <f>IFERROR(__xludf.DUMMYFUNCTION("""COMPUTED_VALUE"""),"Q2'22")</f>
        <v>Q2'22</v>
      </c>
      <c r="R638" s="9">
        <f>IFERROR(__xludf.DUMMYFUNCTION("""COMPUTED_VALUE"""),4.537243991445042)</f>
        <v>4.537243991</v>
      </c>
    </row>
    <row r="639" ht="14.25" customHeight="1">
      <c r="A639" s="3" t="s">
        <v>25</v>
      </c>
      <c r="B639" s="3" t="s">
        <v>11</v>
      </c>
      <c r="C639" s="3" t="s">
        <v>12</v>
      </c>
      <c r="D639" s="3" t="s">
        <v>13</v>
      </c>
      <c r="E639" s="3" t="s">
        <v>14</v>
      </c>
      <c r="F639" s="3">
        <v>180.0</v>
      </c>
      <c r="G639" s="4" t="s">
        <v>17</v>
      </c>
      <c r="H639" s="3">
        <v>5.125322793701309</v>
      </c>
      <c r="K639" s="9" t="str">
        <f>IFERROR(__xludf.DUMMYFUNCTION("""COMPUTED_VALUE"""),"TT Off South")</f>
        <v>TT Off South</v>
      </c>
      <c r="L639" s="9" t="str">
        <f>IFERROR(__xludf.DUMMYFUNCTION("""COMPUTED_VALUE"""),"Elite")</f>
        <v>Elite</v>
      </c>
      <c r="M639" s="9" t="str">
        <f>IFERROR(__xludf.DUMMYFUNCTION("""COMPUTED_VALUE"""),"Unami")</f>
        <v>Unami</v>
      </c>
      <c r="N639" s="9" t="str">
        <f>IFERROR(__xludf.DUMMYFUNCTION("""COMPUTED_VALUE"""),"Sweetened")</f>
        <v>Sweetened</v>
      </c>
      <c r="O639" s="9" t="str">
        <f>IFERROR(__xludf.DUMMYFUNCTION("""COMPUTED_VALUE"""),"Carton")</f>
        <v>Carton</v>
      </c>
      <c r="P639" s="9">
        <f>IFERROR(__xludf.DUMMYFUNCTION("""COMPUTED_VALUE"""),180.0)</f>
        <v>180</v>
      </c>
      <c r="Q639" s="9" t="str">
        <f>IFERROR(__xludf.DUMMYFUNCTION("""COMPUTED_VALUE"""),"Q3'22")</f>
        <v>Q3'22</v>
      </c>
      <c r="R639" s="9">
        <f>IFERROR(__xludf.DUMMYFUNCTION("""COMPUTED_VALUE"""),4.736647011340135)</f>
        <v>4.736647011</v>
      </c>
    </row>
    <row r="640" ht="14.25" customHeight="1">
      <c r="A640" s="3" t="s">
        <v>25</v>
      </c>
      <c r="B640" s="3" t="s">
        <v>11</v>
      </c>
      <c r="C640" s="3" t="s">
        <v>12</v>
      </c>
      <c r="D640" s="3" t="s">
        <v>13</v>
      </c>
      <c r="E640" s="3" t="s">
        <v>14</v>
      </c>
      <c r="F640" s="3">
        <v>180.0</v>
      </c>
      <c r="G640" s="4" t="s">
        <v>18</v>
      </c>
      <c r="H640" s="3">
        <v>5.032734867144466</v>
      </c>
      <c r="K640" s="9" t="str">
        <f>IFERROR(__xludf.DUMMYFUNCTION("""COMPUTED_VALUE"""),"TT Off South")</f>
        <v>TT Off South</v>
      </c>
      <c r="L640" s="9" t="str">
        <f>IFERROR(__xludf.DUMMYFUNCTION("""COMPUTED_VALUE"""),"Elite")</f>
        <v>Elite</v>
      </c>
      <c r="M640" s="9" t="str">
        <f>IFERROR(__xludf.DUMMYFUNCTION("""COMPUTED_VALUE"""),"Unami")</f>
        <v>Unami</v>
      </c>
      <c r="N640" s="9" t="str">
        <f>IFERROR(__xludf.DUMMYFUNCTION("""COMPUTED_VALUE"""),"Sweetened")</f>
        <v>Sweetened</v>
      </c>
      <c r="O640" s="9" t="str">
        <f>IFERROR(__xludf.DUMMYFUNCTION("""COMPUTED_VALUE"""),"Carton")</f>
        <v>Carton</v>
      </c>
      <c r="P640" s="9">
        <f>IFERROR(__xludf.DUMMYFUNCTION("""COMPUTED_VALUE"""),180.0)</f>
        <v>180</v>
      </c>
      <c r="Q640" s="9" t="str">
        <f>IFERROR(__xludf.DUMMYFUNCTION("""COMPUTED_VALUE"""),"Q4'22")</f>
        <v>Q4'22</v>
      </c>
      <c r="R640" s="9">
        <f>IFERROR(__xludf.DUMMYFUNCTION("""COMPUTED_VALUE"""),4.490749531134546)</f>
        <v>4.490749531</v>
      </c>
    </row>
    <row r="641" ht="14.25" customHeight="1">
      <c r="A641" s="3" t="s">
        <v>25</v>
      </c>
      <c r="B641" s="3" t="s">
        <v>11</v>
      </c>
      <c r="C641" s="3" t="s">
        <v>12</v>
      </c>
      <c r="D641" s="3" t="s">
        <v>13</v>
      </c>
      <c r="E641" s="3" t="s">
        <v>14</v>
      </c>
      <c r="F641" s="3">
        <v>180.0</v>
      </c>
      <c r="G641" s="4" t="s">
        <v>19</v>
      </c>
      <c r="H641" s="3">
        <v>4.397122778480093</v>
      </c>
      <c r="K641" s="9" t="str">
        <f>IFERROR(__xludf.DUMMYFUNCTION("""COMPUTED_VALUE"""),"TT Off South")</f>
        <v>TT Off South</v>
      </c>
      <c r="L641" s="9" t="str">
        <f>IFERROR(__xludf.DUMMYFUNCTION("""COMPUTED_VALUE"""),"Elite")</f>
        <v>Elite</v>
      </c>
      <c r="M641" s="9" t="str">
        <f>IFERROR(__xludf.DUMMYFUNCTION("""COMPUTED_VALUE"""),"Unami")</f>
        <v>Unami</v>
      </c>
      <c r="N641" s="9" t="str">
        <f>IFERROR(__xludf.DUMMYFUNCTION("""COMPUTED_VALUE"""),"Sweetened")</f>
        <v>Sweetened</v>
      </c>
      <c r="O641" s="9" t="str">
        <f>IFERROR(__xludf.DUMMYFUNCTION("""COMPUTED_VALUE"""),"Carton")</f>
        <v>Carton</v>
      </c>
      <c r="P641" s="9">
        <f>IFERROR(__xludf.DUMMYFUNCTION("""COMPUTED_VALUE"""),180.0)</f>
        <v>180</v>
      </c>
      <c r="Q641" s="9" t="str">
        <f>IFERROR(__xludf.DUMMYFUNCTION("""COMPUTED_VALUE"""),"Q1'23")</f>
        <v>Q1'23</v>
      </c>
      <c r="R641" s="9">
        <f>IFERROR(__xludf.DUMMYFUNCTION("""COMPUTED_VALUE"""),4.120675522857409)</f>
        <v>4.120675523</v>
      </c>
    </row>
    <row r="642" ht="14.25" customHeight="1">
      <c r="A642" s="3" t="s">
        <v>25</v>
      </c>
      <c r="B642" s="3" t="s">
        <v>11</v>
      </c>
      <c r="C642" s="3" t="s">
        <v>12</v>
      </c>
      <c r="D642" s="3" t="s">
        <v>13</v>
      </c>
      <c r="E642" s="3" t="s">
        <v>14</v>
      </c>
      <c r="F642" s="3">
        <v>180.0</v>
      </c>
      <c r="G642" s="4" t="s">
        <v>20</v>
      </c>
      <c r="H642" s="3">
        <v>4.075036574650778</v>
      </c>
      <c r="K642" s="9" t="str">
        <f>IFERROR(__xludf.DUMMYFUNCTION("""COMPUTED_VALUE"""),"TT Off South")</f>
        <v>TT Off South</v>
      </c>
      <c r="L642" s="9" t="str">
        <f>IFERROR(__xludf.DUMMYFUNCTION("""COMPUTED_VALUE"""),"Elite")</f>
        <v>Elite</v>
      </c>
      <c r="M642" s="9" t="str">
        <f>IFERROR(__xludf.DUMMYFUNCTION("""COMPUTED_VALUE"""),"Unami")</f>
        <v>Unami</v>
      </c>
      <c r="N642" s="9" t="str">
        <f>IFERROR(__xludf.DUMMYFUNCTION("""COMPUTED_VALUE"""),"Sweetened")</f>
        <v>Sweetened</v>
      </c>
      <c r="O642" s="9" t="str">
        <f>IFERROR(__xludf.DUMMYFUNCTION("""COMPUTED_VALUE"""),"Carton")</f>
        <v>Carton</v>
      </c>
      <c r="P642" s="9">
        <f>IFERROR(__xludf.DUMMYFUNCTION("""COMPUTED_VALUE"""),180.0)</f>
        <v>180</v>
      </c>
      <c r="Q642" s="9" t="str">
        <f>IFERROR(__xludf.DUMMYFUNCTION("""COMPUTED_VALUE"""),"Q2'23")</f>
        <v>Q2'23</v>
      </c>
      <c r="R642" s="9">
        <f>IFERROR(__xludf.DUMMYFUNCTION("""COMPUTED_VALUE"""),3.771298501163086)</f>
        <v>3.771298501</v>
      </c>
    </row>
    <row r="643" ht="14.25" customHeight="1">
      <c r="A643" s="3" t="s">
        <v>25</v>
      </c>
      <c r="B643" s="3" t="s">
        <v>11</v>
      </c>
      <c r="C643" s="3" t="s">
        <v>12</v>
      </c>
      <c r="D643" s="3" t="s">
        <v>13</v>
      </c>
      <c r="E643" s="3" t="s">
        <v>14</v>
      </c>
      <c r="F643" s="3">
        <v>180.0</v>
      </c>
      <c r="G643" s="4" t="s">
        <v>21</v>
      </c>
      <c r="H643" s="3">
        <v>4.024855350089827</v>
      </c>
      <c r="K643" s="9" t="str">
        <f>IFERROR(__xludf.DUMMYFUNCTION("""COMPUTED_VALUE"""),"TT Off South")</f>
        <v>TT Off South</v>
      </c>
      <c r="L643" s="9" t="str">
        <f>IFERROR(__xludf.DUMMYFUNCTION("""COMPUTED_VALUE"""),"Elite")</f>
        <v>Elite</v>
      </c>
      <c r="M643" s="9" t="str">
        <f>IFERROR(__xludf.DUMMYFUNCTION("""COMPUTED_VALUE"""),"Unami")</f>
        <v>Unami</v>
      </c>
      <c r="N643" s="9" t="str">
        <f>IFERROR(__xludf.DUMMYFUNCTION("""COMPUTED_VALUE"""),"Sweetened")</f>
        <v>Sweetened</v>
      </c>
      <c r="O643" s="9" t="str">
        <f>IFERROR(__xludf.DUMMYFUNCTION("""COMPUTED_VALUE"""),"Carton")</f>
        <v>Carton</v>
      </c>
      <c r="P643" s="9">
        <f>IFERROR(__xludf.DUMMYFUNCTION("""COMPUTED_VALUE"""),180.0)</f>
        <v>180</v>
      </c>
      <c r="Q643" s="9" t="str">
        <f>IFERROR(__xludf.DUMMYFUNCTION("""COMPUTED_VALUE"""),"Q3'23")</f>
        <v>Q3'23</v>
      </c>
      <c r="R643" s="9">
        <f>IFERROR(__xludf.DUMMYFUNCTION("""COMPUTED_VALUE"""),3.508512684358369)</f>
        <v>3.508512684</v>
      </c>
    </row>
    <row r="644" ht="14.25" customHeight="1">
      <c r="A644" s="3" t="s">
        <v>25</v>
      </c>
      <c r="B644" s="3" t="s">
        <v>11</v>
      </c>
      <c r="C644" s="3" t="s">
        <v>12</v>
      </c>
      <c r="D644" s="3" t="s">
        <v>13</v>
      </c>
      <c r="E644" s="3" t="s">
        <v>14</v>
      </c>
      <c r="F644" s="3">
        <v>180.0</v>
      </c>
      <c r="G644" s="4" t="s">
        <v>22</v>
      </c>
      <c r="H644" s="3">
        <v>3.451652846755953</v>
      </c>
      <c r="K644" s="9" t="str">
        <f>IFERROR(__xludf.DUMMYFUNCTION("""COMPUTED_VALUE"""),"TT Off South")</f>
        <v>TT Off South</v>
      </c>
      <c r="L644" s="9" t="str">
        <f>IFERROR(__xludf.DUMMYFUNCTION("""COMPUTED_VALUE"""),"Elite")</f>
        <v>Elite</v>
      </c>
      <c r="M644" s="9" t="str">
        <f>IFERROR(__xludf.DUMMYFUNCTION("""COMPUTED_VALUE"""),"Unami")</f>
        <v>Unami</v>
      </c>
      <c r="N644" s="9" t="str">
        <f>IFERROR(__xludf.DUMMYFUNCTION("""COMPUTED_VALUE"""),"Sweetened")</f>
        <v>Sweetened</v>
      </c>
      <c r="O644" s="9" t="str">
        <f>IFERROR(__xludf.DUMMYFUNCTION("""COMPUTED_VALUE"""),"Carton")</f>
        <v>Carton</v>
      </c>
      <c r="P644" s="9">
        <f>IFERROR(__xludf.DUMMYFUNCTION("""COMPUTED_VALUE"""),180.0)</f>
        <v>180</v>
      </c>
      <c r="Q644" s="9" t="str">
        <f>IFERROR(__xludf.DUMMYFUNCTION("""COMPUTED_VALUE"""),"Q4'23")</f>
        <v>Q4'23</v>
      </c>
      <c r="R644" s="9">
        <f>IFERROR(__xludf.DUMMYFUNCTION("""COMPUTED_VALUE"""),3.3425814028018968)</f>
        <v>3.342581403</v>
      </c>
    </row>
    <row r="645" ht="14.25" customHeight="1">
      <c r="A645" s="3" t="s">
        <v>25</v>
      </c>
      <c r="B645" s="3" t="s">
        <v>11</v>
      </c>
      <c r="C645" s="3" t="s">
        <v>12</v>
      </c>
      <c r="D645" s="3" t="s">
        <v>13</v>
      </c>
      <c r="E645" s="3" t="s">
        <v>29</v>
      </c>
      <c r="F645" s="3">
        <v>220.0</v>
      </c>
      <c r="G645" s="4" t="s">
        <v>15</v>
      </c>
      <c r="H645" s="3">
        <v>9.036723892575763</v>
      </c>
      <c r="K645" s="9" t="str">
        <f>IFERROR(__xludf.DUMMYFUNCTION("""COMPUTED_VALUE"""),"TT Off South")</f>
        <v>TT Off South</v>
      </c>
      <c r="L645" s="9" t="str">
        <f>IFERROR(__xludf.DUMMYFUNCTION("""COMPUTED_VALUE"""),"Elite")</f>
        <v>Elite</v>
      </c>
      <c r="M645" s="9" t="str">
        <f>IFERROR(__xludf.DUMMYFUNCTION("""COMPUTED_VALUE"""),"Unami")</f>
        <v>Unami</v>
      </c>
      <c r="N645" s="9" t="str">
        <f>IFERROR(__xludf.DUMMYFUNCTION("""COMPUTED_VALUE"""),"Sweetened")</f>
        <v>Sweetened</v>
      </c>
      <c r="O645" s="9" t="str">
        <f>IFERROR(__xludf.DUMMYFUNCTION("""COMPUTED_VALUE"""),"TFA")</f>
        <v>TFA</v>
      </c>
      <c r="P645" s="9">
        <f>IFERROR(__xludf.DUMMYFUNCTION("""COMPUTED_VALUE"""),220.0)</f>
        <v>220</v>
      </c>
      <c r="Q645" s="9" t="str">
        <f>IFERROR(__xludf.DUMMYFUNCTION("""COMPUTED_VALUE"""),"Q1'22")</f>
        <v>Q1'22</v>
      </c>
      <c r="R645" s="9">
        <f>IFERROR(__xludf.DUMMYFUNCTION("""COMPUTED_VALUE"""),23.9645443886204)</f>
        <v>23.96454439</v>
      </c>
    </row>
    <row r="646" ht="14.25" customHeight="1">
      <c r="A646" s="3" t="s">
        <v>25</v>
      </c>
      <c r="B646" s="3" t="s">
        <v>11</v>
      </c>
      <c r="C646" s="3" t="s">
        <v>12</v>
      </c>
      <c r="D646" s="3" t="s">
        <v>13</v>
      </c>
      <c r="E646" s="3" t="s">
        <v>29</v>
      </c>
      <c r="F646" s="3">
        <v>220.0</v>
      </c>
      <c r="G646" s="4" t="s">
        <v>16</v>
      </c>
      <c r="H646" s="3">
        <v>8.363362407075703</v>
      </c>
      <c r="K646" s="9" t="str">
        <f>IFERROR(__xludf.DUMMYFUNCTION("""COMPUTED_VALUE"""),"TT Off South")</f>
        <v>TT Off South</v>
      </c>
      <c r="L646" s="9" t="str">
        <f>IFERROR(__xludf.DUMMYFUNCTION("""COMPUTED_VALUE"""),"Elite")</f>
        <v>Elite</v>
      </c>
      <c r="M646" s="9" t="str">
        <f>IFERROR(__xludf.DUMMYFUNCTION("""COMPUTED_VALUE"""),"Unami")</f>
        <v>Unami</v>
      </c>
      <c r="N646" s="9" t="str">
        <f>IFERROR(__xludf.DUMMYFUNCTION("""COMPUTED_VALUE"""),"Sweetened")</f>
        <v>Sweetened</v>
      </c>
      <c r="O646" s="9" t="str">
        <f>IFERROR(__xludf.DUMMYFUNCTION("""COMPUTED_VALUE"""),"TFA")</f>
        <v>TFA</v>
      </c>
      <c r="P646" s="9">
        <f>IFERROR(__xludf.DUMMYFUNCTION("""COMPUTED_VALUE"""),220.0)</f>
        <v>220</v>
      </c>
      <c r="Q646" s="9" t="str">
        <f>IFERROR(__xludf.DUMMYFUNCTION("""COMPUTED_VALUE"""),"Q2'22")</f>
        <v>Q2'22</v>
      </c>
      <c r="R646" s="9">
        <f>IFERROR(__xludf.DUMMYFUNCTION("""COMPUTED_VALUE"""),24.39672743655689)</f>
        <v>24.39672744</v>
      </c>
    </row>
    <row r="647" ht="14.25" customHeight="1">
      <c r="A647" s="3" t="s">
        <v>25</v>
      </c>
      <c r="B647" s="3" t="s">
        <v>11</v>
      </c>
      <c r="C647" s="3" t="s">
        <v>12</v>
      </c>
      <c r="D647" s="3" t="s">
        <v>13</v>
      </c>
      <c r="E647" s="3" t="s">
        <v>29</v>
      </c>
      <c r="F647" s="3">
        <v>220.0</v>
      </c>
      <c r="G647" s="4" t="s">
        <v>17</v>
      </c>
      <c r="H647" s="3">
        <v>8.10310490933453</v>
      </c>
      <c r="K647" s="9" t="str">
        <f>IFERROR(__xludf.DUMMYFUNCTION("""COMPUTED_VALUE"""),"TT Off South")</f>
        <v>TT Off South</v>
      </c>
      <c r="L647" s="9" t="str">
        <f>IFERROR(__xludf.DUMMYFUNCTION("""COMPUTED_VALUE"""),"Elite")</f>
        <v>Elite</v>
      </c>
      <c r="M647" s="9" t="str">
        <f>IFERROR(__xludf.DUMMYFUNCTION("""COMPUTED_VALUE"""),"Unami")</f>
        <v>Unami</v>
      </c>
      <c r="N647" s="9" t="str">
        <f>IFERROR(__xludf.DUMMYFUNCTION("""COMPUTED_VALUE"""),"Sweetened")</f>
        <v>Sweetened</v>
      </c>
      <c r="O647" s="9" t="str">
        <f>IFERROR(__xludf.DUMMYFUNCTION("""COMPUTED_VALUE"""),"TFA")</f>
        <v>TFA</v>
      </c>
      <c r="P647" s="9">
        <f>IFERROR(__xludf.DUMMYFUNCTION("""COMPUTED_VALUE"""),220.0)</f>
        <v>220</v>
      </c>
      <c r="Q647" s="9" t="str">
        <f>IFERROR(__xludf.DUMMYFUNCTION("""COMPUTED_VALUE"""),"Q3'22")</f>
        <v>Q3'22</v>
      </c>
      <c r="R647" s="9">
        <f>IFERROR(__xludf.DUMMYFUNCTION("""COMPUTED_VALUE"""),23.145535221573613)</f>
        <v>23.14553522</v>
      </c>
    </row>
    <row r="648" ht="14.25" customHeight="1">
      <c r="A648" s="3" t="s">
        <v>25</v>
      </c>
      <c r="B648" s="3" t="s">
        <v>11</v>
      </c>
      <c r="C648" s="3" t="s">
        <v>12</v>
      </c>
      <c r="D648" s="3" t="s">
        <v>13</v>
      </c>
      <c r="E648" s="3" t="s">
        <v>29</v>
      </c>
      <c r="F648" s="3">
        <v>220.0</v>
      </c>
      <c r="G648" s="4" t="s">
        <v>18</v>
      </c>
      <c r="H648" s="3">
        <v>8.714277795342985</v>
      </c>
      <c r="K648" s="9" t="str">
        <f>IFERROR(__xludf.DUMMYFUNCTION("""COMPUTED_VALUE"""),"TT Off South")</f>
        <v>TT Off South</v>
      </c>
      <c r="L648" s="9" t="str">
        <f>IFERROR(__xludf.DUMMYFUNCTION("""COMPUTED_VALUE"""),"Elite")</f>
        <v>Elite</v>
      </c>
      <c r="M648" s="9" t="str">
        <f>IFERROR(__xludf.DUMMYFUNCTION("""COMPUTED_VALUE"""),"Unami")</f>
        <v>Unami</v>
      </c>
      <c r="N648" s="9" t="str">
        <f>IFERROR(__xludf.DUMMYFUNCTION("""COMPUTED_VALUE"""),"Sweetened")</f>
        <v>Sweetened</v>
      </c>
      <c r="O648" s="9" t="str">
        <f>IFERROR(__xludf.DUMMYFUNCTION("""COMPUTED_VALUE"""),"TFA")</f>
        <v>TFA</v>
      </c>
      <c r="P648" s="9">
        <f>IFERROR(__xludf.DUMMYFUNCTION("""COMPUTED_VALUE"""),220.0)</f>
        <v>220</v>
      </c>
      <c r="Q648" s="9" t="str">
        <f>IFERROR(__xludf.DUMMYFUNCTION("""COMPUTED_VALUE"""),"Q4'22")</f>
        <v>Q4'22</v>
      </c>
      <c r="R648" s="9">
        <f>IFERROR(__xludf.DUMMYFUNCTION("""COMPUTED_VALUE"""),23.76559240493472)</f>
        <v>23.7655924</v>
      </c>
    </row>
    <row r="649" ht="14.25" customHeight="1">
      <c r="A649" s="3" t="s">
        <v>25</v>
      </c>
      <c r="B649" s="3" t="s">
        <v>11</v>
      </c>
      <c r="C649" s="3" t="s">
        <v>12</v>
      </c>
      <c r="D649" s="3" t="s">
        <v>13</v>
      </c>
      <c r="E649" s="3" t="s">
        <v>29</v>
      </c>
      <c r="F649" s="3">
        <v>220.0</v>
      </c>
      <c r="G649" s="4" t="s">
        <v>19</v>
      </c>
      <c r="H649" s="3">
        <v>8.761265118035105</v>
      </c>
      <c r="K649" s="9" t="str">
        <f>IFERROR(__xludf.DUMMYFUNCTION("""COMPUTED_VALUE"""),"TT Off South")</f>
        <v>TT Off South</v>
      </c>
      <c r="L649" s="9" t="str">
        <f>IFERROR(__xludf.DUMMYFUNCTION("""COMPUTED_VALUE"""),"Elite")</f>
        <v>Elite</v>
      </c>
      <c r="M649" s="9" t="str">
        <f>IFERROR(__xludf.DUMMYFUNCTION("""COMPUTED_VALUE"""),"Unami")</f>
        <v>Unami</v>
      </c>
      <c r="N649" s="9" t="str">
        <f>IFERROR(__xludf.DUMMYFUNCTION("""COMPUTED_VALUE"""),"Sweetened")</f>
        <v>Sweetened</v>
      </c>
      <c r="O649" s="9" t="str">
        <f>IFERROR(__xludf.DUMMYFUNCTION("""COMPUTED_VALUE"""),"TFA")</f>
        <v>TFA</v>
      </c>
      <c r="P649" s="9">
        <f>IFERROR(__xludf.DUMMYFUNCTION("""COMPUTED_VALUE"""),220.0)</f>
        <v>220</v>
      </c>
      <c r="Q649" s="9" t="str">
        <f>IFERROR(__xludf.DUMMYFUNCTION("""COMPUTED_VALUE"""),"Q1'23")</f>
        <v>Q1'23</v>
      </c>
      <c r="R649" s="9">
        <f>IFERROR(__xludf.DUMMYFUNCTION("""COMPUTED_VALUE"""),23.588779949828417)</f>
        <v>23.58877995</v>
      </c>
    </row>
    <row r="650" ht="14.25" customHeight="1">
      <c r="A650" s="3" t="s">
        <v>25</v>
      </c>
      <c r="B650" s="3" t="s">
        <v>11</v>
      </c>
      <c r="C650" s="3" t="s">
        <v>12</v>
      </c>
      <c r="D650" s="3" t="s">
        <v>13</v>
      </c>
      <c r="E650" s="3" t="s">
        <v>29</v>
      </c>
      <c r="F650" s="3">
        <v>220.0</v>
      </c>
      <c r="G650" s="4" t="s">
        <v>20</v>
      </c>
      <c r="H650" s="3">
        <v>9.055877847432939</v>
      </c>
      <c r="K650" s="9" t="str">
        <f>IFERROR(__xludf.DUMMYFUNCTION("""COMPUTED_VALUE"""),"TT Off South")</f>
        <v>TT Off South</v>
      </c>
      <c r="L650" s="9" t="str">
        <f>IFERROR(__xludf.DUMMYFUNCTION("""COMPUTED_VALUE"""),"Elite")</f>
        <v>Elite</v>
      </c>
      <c r="M650" s="9" t="str">
        <f>IFERROR(__xludf.DUMMYFUNCTION("""COMPUTED_VALUE"""),"Unami")</f>
        <v>Unami</v>
      </c>
      <c r="N650" s="9" t="str">
        <f>IFERROR(__xludf.DUMMYFUNCTION("""COMPUTED_VALUE"""),"Sweetened")</f>
        <v>Sweetened</v>
      </c>
      <c r="O650" s="9" t="str">
        <f>IFERROR(__xludf.DUMMYFUNCTION("""COMPUTED_VALUE"""),"TFA")</f>
        <v>TFA</v>
      </c>
      <c r="P650" s="9">
        <f>IFERROR(__xludf.DUMMYFUNCTION("""COMPUTED_VALUE"""),220.0)</f>
        <v>220</v>
      </c>
      <c r="Q650" s="9" t="str">
        <f>IFERROR(__xludf.DUMMYFUNCTION("""COMPUTED_VALUE"""),"Q2'23")</f>
        <v>Q2'23</v>
      </c>
      <c r="R650" s="9">
        <f>IFERROR(__xludf.DUMMYFUNCTION("""COMPUTED_VALUE"""),24.299484712380398)</f>
        <v>24.29948471</v>
      </c>
    </row>
    <row r="651" ht="14.25" customHeight="1">
      <c r="A651" s="3" t="s">
        <v>25</v>
      </c>
      <c r="B651" s="3" t="s">
        <v>11</v>
      </c>
      <c r="C651" s="3" t="s">
        <v>12</v>
      </c>
      <c r="D651" s="3" t="s">
        <v>13</v>
      </c>
      <c r="E651" s="3" t="s">
        <v>29</v>
      </c>
      <c r="F651" s="3">
        <v>220.0</v>
      </c>
      <c r="G651" s="4" t="s">
        <v>21</v>
      </c>
      <c r="H651" s="3">
        <v>9.415373616239178</v>
      </c>
      <c r="K651" s="9" t="str">
        <f>IFERROR(__xludf.DUMMYFUNCTION("""COMPUTED_VALUE"""),"TT Off South")</f>
        <v>TT Off South</v>
      </c>
      <c r="L651" s="9" t="str">
        <f>IFERROR(__xludf.DUMMYFUNCTION("""COMPUTED_VALUE"""),"Elite")</f>
        <v>Elite</v>
      </c>
      <c r="M651" s="9" t="str">
        <f>IFERROR(__xludf.DUMMYFUNCTION("""COMPUTED_VALUE"""),"Unami")</f>
        <v>Unami</v>
      </c>
      <c r="N651" s="9" t="str">
        <f>IFERROR(__xludf.DUMMYFUNCTION("""COMPUTED_VALUE"""),"Sweetened")</f>
        <v>Sweetened</v>
      </c>
      <c r="O651" s="9" t="str">
        <f>IFERROR(__xludf.DUMMYFUNCTION("""COMPUTED_VALUE"""),"TFA")</f>
        <v>TFA</v>
      </c>
      <c r="P651" s="9">
        <f>IFERROR(__xludf.DUMMYFUNCTION("""COMPUTED_VALUE"""),220.0)</f>
        <v>220</v>
      </c>
      <c r="Q651" s="9" t="str">
        <f>IFERROR(__xludf.DUMMYFUNCTION("""COMPUTED_VALUE"""),"Q3'23")</f>
        <v>Q3'23</v>
      </c>
      <c r="R651" s="9">
        <f>IFERROR(__xludf.DUMMYFUNCTION("""COMPUTED_VALUE"""),24.08335717699816)</f>
        <v>24.08335718</v>
      </c>
    </row>
    <row r="652" ht="14.25" customHeight="1">
      <c r="A652" s="3" t="s">
        <v>25</v>
      </c>
      <c r="B652" s="3" t="s">
        <v>11</v>
      </c>
      <c r="C652" s="3" t="s">
        <v>12</v>
      </c>
      <c r="D652" s="3" t="s">
        <v>13</v>
      </c>
      <c r="E652" s="3" t="s">
        <v>29</v>
      </c>
      <c r="F652" s="3">
        <v>220.0</v>
      </c>
      <c r="G652" s="4" t="s">
        <v>22</v>
      </c>
      <c r="H652" s="3">
        <v>8.889966726817566</v>
      </c>
      <c r="K652" s="9" t="str">
        <f>IFERROR(__xludf.DUMMYFUNCTION("""COMPUTED_VALUE"""),"TT Off South")</f>
        <v>TT Off South</v>
      </c>
      <c r="L652" s="9" t="str">
        <f>IFERROR(__xludf.DUMMYFUNCTION("""COMPUTED_VALUE"""),"Elite")</f>
        <v>Elite</v>
      </c>
      <c r="M652" s="9" t="str">
        <f>IFERROR(__xludf.DUMMYFUNCTION("""COMPUTED_VALUE"""),"Unami")</f>
        <v>Unami</v>
      </c>
      <c r="N652" s="9" t="str">
        <f>IFERROR(__xludf.DUMMYFUNCTION("""COMPUTED_VALUE"""),"Sweetened")</f>
        <v>Sweetened</v>
      </c>
      <c r="O652" s="9" t="str">
        <f>IFERROR(__xludf.DUMMYFUNCTION("""COMPUTED_VALUE"""),"TFA")</f>
        <v>TFA</v>
      </c>
      <c r="P652" s="9">
        <f>IFERROR(__xludf.DUMMYFUNCTION("""COMPUTED_VALUE"""),220.0)</f>
        <v>220</v>
      </c>
      <c r="Q652" s="9" t="str">
        <f>IFERROR(__xludf.DUMMYFUNCTION("""COMPUTED_VALUE"""),"Q4'23")</f>
        <v>Q4'23</v>
      </c>
      <c r="R652" s="9">
        <f>IFERROR(__xludf.DUMMYFUNCTION("""COMPUTED_VALUE"""),24.0927617004296)</f>
        <v>24.0927617</v>
      </c>
    </row>
    <row r="653" ht="14.25" customHeight="1">
      <c r="A653" s="3" t="s">
        <v>25</v>
      </c>
      <c r="B653" s="6" t="s">
        <v>38</v>
      </c>
      <c r="C653" s="3" t="s">
        <v>39</v>
      </c>
      <c r="D653" s="3" t="s">
        <v>13</v>
      </c>
      <c r="E653" s="3" t="s">
        <v>14</v>
      </c>
      <c r="F653" s="3">
        <v>110.0</v>
      </c>
      <c r="G653" s="4" t="s">
        <v>15</v>
      </c>
      <c r="H653" s="3">
        <v>2.6779508882144207</v>
      </c>
      <c r="K653" s="9" t="str">
        <f>IFERROR(__xludf.DUMMYFUNCTION("""COMPUTED_VALUE"""),"TT Off South")</f>
        <v>TT Off South</v>
      </c>
      <c r="L653" s="9" t="str">
        <f>IFERROR(__xludf.DUMMYFUNCTION("""COMPUTED_VALUE"""),"Joyi")</f>
        <v>Joyi</v>
      </c>
      <c r="M653" s="9" t="str">
        <f>IFERROR(__xludf.DUMMYFUNCTION("""COMPUTED_VALUE"""),"Smartmilk")</f>
        <v>Smartmilk</v>
      </c>
      <c r="N653" s="9" t="str">
        <f>IFERROR(__xludf.DUMMYFUNCTION("""COMPUTED_VALUE"""),"Sweetened")</f>
        <v>Sweetened</v>
      </c>
      <c r="O653" s="9" t="str">
        <f>IFERROR(__xludf.DUMMYFUNCTION("""COMPUTED_VALUE"""),"Carton")</f>
        <v>Carton</v>
      </c>
      <c r="P653" s="9">
        <f>IFERROR(__xludf.DUMMYFUNCTION("""COMPUTED_VALUE"""),110.0)</f>
        <v>110</v>
      </c>
      <c r="Q653" s="9" t="str">
        <f>IFERROR(__xludf.DUMMYFUNCTION("""COMPUTED_VALUE"""),"Q1'22")</f>
        <v>Q1'22</v>
      </c>
      <c r="R653" s="9">
        <f>IFERROR(__xludf.DUMMYFUNCTION("""COMPUTED_VALUE"""),0.942895692622074)</f>
        <v>0.9428956926</v>
      </c>
    </row>
    <row r="654" ht="14.25" customHeight="1">
      <c r="A654" s="3" t="s">
        <v>25</v>
      </c>
      <c r="B654" s="6" t="s">
        <v>38</v>
      </c>
      <c r="C654" s="3" t="s">
        <v>39</v>
      </c>
      <c r="D654" s="3" t="s">
        <v>13</v>
      </c>
      <c r="E654" s="3" t="s">
        <v>14</v>
      </c>
      <c r="F654" s="3">
        <v>110.0</v>
      </c>
      <c r="G654" s="4" t="s">
        <v>16</v>
      </c>
      <c r="H654" s="3">
        <v>2.7246925829988156</v>
      </c>
      <c r="K654" s="9" t="str">
        <f>IFERROR(__xludf.DUMMYFUNCTION("""COMPUTED_VALUE"""),"TT Off South")</f>
        <v>TT Off South</v>
      </c>
      <c r="L654" s="9" t="str">
        <f>IFERROR(__xludf.DUMMYFUNCTION("""COMPUTED_VALUE"""),"Joyi")</f>
        <v>Joyi</v>
      </c>
      <c r="M654" s="9" t="str">
        <f>IFERROR(__xludf.DUMMYFUNCTION("""COMPUTED_VALUE"""),"Smartmilk")</f>
        <v>Smartmilk</v>
      </c>
      <c r="N654" s="9" t="str">
        <f>IFERROR(__xludf.DUMMYFUNCTION("""COMPUTED_VALUE"""),"Sweetened")</f>
        <v>Sweetened</v>
      </c>
      <c r="O654" s="9" t="str">
        <f>IFERROR(__xludf.DUMMYFUNCTION("""COMPUTED_VALUE"""),"Carton")</f>
        <v>Carton</v>
      </c>
      <c r="P654" s="9">
        <f>IFERROR(__xludf.DUMMYFUNCTION("""COMPUTED_VALUE"""),110.0)</f>
        <v>110</v>
      </c>
      <c r="Q654" s="9" t="str">
        <f>IFERROR(__xludf.DUMMYFUNCTION("""COMPUTED_VALUE"""),"Q2'22")</f>
        <v>Q2'22</v>
      </c>
      <c r="R654" s="9">
        <f>IFERROR(__xludf.DUMMYFUNCTION("""COMPUTED_VALUE"""),0.7796250854922423)</f>
        <v>0.7796250855</v>
      </c>
    </row>
    <row r="655" ht="14.25" customHeight="1">
      <c r="A655" s="3" t="s">
        <v>25</v>
      </c>
      <c r="B655" s="6" t="s">
        <v>38</v>
      </c>
      <c r="C655" s="3" t="s">
        <v>39</v>
      </c>
      <c r="D655" s="3" t="s">
        <v>13</v>
      </c>
      <c r="E655" s="3" t="s">
        <v>14</v>
      </c>
      <c r="F655" s="3">
        <v>110.0</v>
      </c>
      <c r="G655" s="4" t="s">
        <v>17</v>
      </c>
      <c r="H655" s="3">
        <v>2.5825451182551045</v>
      </c>
      <c r="K655" s="9" t="str">
        <f>IFERROR(__xludf.DUMMYFUNCTION("""COMPUTED_VALUE"""),"TT Off South")</f>
        <v>TT Off South</v>
      </c>
      <c r="L655" s="9" t="str">
        <f>IFERROR(__xludf.DUMMYFUNCTION("""COMPUTED_VALUE"""),"Joyi")</f>
        <v>Joyi</v>
      </c>
      <c r="M655" s="9" t="str">
        <f>IFERROR(__xludf.DUMMYFUNCTION("""COMPUTED_VALUE"""),"Smartmilk")</f>
        <v>Smartmilk</v>
      </c>
      <c r="N655" s="9" t="str">
        <f>IFERROR(__xludf.DUMMYFUNCTION("""COMPUTED_VALUE"""),"Sweetened")</f>
        <v>Sweetened</v>
      </c>
      <c r="O655" s="9" t="str">
        <f>IFERROR(__xludf.DUMMYFUNCTION("""COMPUTED_VALUE"""),"Carton")</f>
        <v>Carton</v>
      </c>
      <c r="P655" s="9">
        <f>IFERROR(__xludf.DUMMYFUNCTION("""COMPUTED_VALUE"""),110.0)</f>
        <v>110</v>
      </c>
      <c r="Q655" s="9" t="str">
        <f>IFERROR(__xludf.DUMMYFUNCTION("""COMPUTED_VALUE"""),"Q3'22")</f>
        <v>Q3'22</v>
      </c>
      <c r="R655" s="9">
        <f>IFERROR(__xludf.DUMMYFUNCTION("""COMPUTED_VALUE"""),0.985460900447272)</f>
        <v>0.9854609004</v>
      </c>
    </row>
    <row r="656" ht="14.25" customHeight="1">
      <c r="A656" s="3" t="s">
        <v>25</v>
      </c>
      <c r="B656" s="6" t="s">
        <v>38</v>
      </c>
      <c r="C656" s="3" t="s">
        <v>39</v>
      </c>
      <c r="D656" s="3" t="s">
        <v>13</v>
      </c>
      <c r="E656" s="3" t="s">
        <v>14</v>
      </c>
      <c r="F656" s="3">
        <v>110.0</v>
      </c>
      <c r="G656" s="4" t="s">
        <v>18</v>
      </c>
      <c r="H656" s="3">
        <v>2.616181090406521</v>
      </c>
      <c r="K656" s="9" t="str">
        <f>IFERROR(__xludf.DUMMYFUNCTION("""COMPUTED_VALUE"""),"TT Off South")</f>
        <v>TT Off South</v>
      </c>
      <c r="L656" s="9" t="str">
        <f>IFERROR(__xludf.DUMMYFUNCTION("""COMPUTED_VALUE"""),"Joyi")</f>
        <v>Joyi</v>
      </c>
      <c r="M656" s="9" t="str">
        <f>IFERROR(__xludf.DUMMYFUNCTION("""COMPUTED_VALUE"""),"Smartmilk")</f>
        <v>Smartmilk</v>
      </c>
      <c r="N656" s="9" t="str">
        <f>IFERROR(__xludf.DUMMYFUNCTION("""COMPUTED_VALUE"""),"Sweetened")</f>
        <v>Sweetened</v>
      </c>
      <c r="O656" s="9" t="str">
        <f>IFERROR(__xludf.DUMMYFUNCTION("""COMPUTED_VALUE"""),"Carton")</f>
        <v>Carton</v>
      </c>
      <c r="P656" s="9">
        <f>IFERROR(__xludf.DUMMYFUNCTION("""COMPUTED_VALUE"""),110.0)</f>
        <v>110</v>
      </c>
      <c r="Q656" s="9" t="str">
        <f>IFERROR(__xludf.DUMMYFUNCTION("""COMPUTED_VALUE"""),"Q4'22")</f>
        <v>Q4'22</v>
      </c>
      <c r="R656" s="9">
        <f>IFERROR(__xludf.DUMMYFUNCTION("""COMPUTED_VALUE"""),1.0753375819624982)</f>
        <v>1.075337582</v>
      </c>
    </row>
    <row r="657" ht="14.25" customHeight="1">
      <c r="A657" s="3" t="s">
        <v>25</v>
      </c>
      <c r="B657" s="6" t="s">
        <v>38</v>
      </c>
      <c r="C657" s="3" t="s">
        <v>39</v>
      </c>
      <c r="D657" s="3" t="s">
        <v>13</v>
      </c>
      <c r="E657" s="3" t="s">
        <v>14</v>
      </c>
      <c r="F657" s="3">
        <v>110.0</v>
      </c>
      <c r="G657" s="4" t="s">
        <v>19</v>
      </c>
      <c r="H657" s="3">
        <v>2.4974007472415947</v>
      </c>
      <c r="K657" s="9" t="str">
        <f>IFERROR(__xludf.DUMMYFUNCTION("""COMPUTED_VALUE"""),"TT Off South")</f>
        <v>TT Off South</v>
      </c>
      <c r="L657" s="9" t="str">
        <f>IFERROR(__xludf.DUMMYFUNCTION("""COMPUTED_VALUE"""),"Joyi")</f>
        <v>Joyi</v>
      </c>
      <c r="M657" s="9" t="str">
        <f>IFERROR(__xludf.DUMMYFUNCTION("""COMPUTED_VALUE"""),"Smartmilk")</f>
        <v>Smartmilk</v>
      </c>
      <c r="N657" s="9" t="str">
        <f>IFERROR(__xludf.DUMMYFUNCTION("""COMPUTED_VALUE"""),"Sweetened")</f>
        <v>Sweetened</v>
      </c>
      <c r="O657" s="9" t="str">
        <f>IFERROR(__xludf.DUMMYFUNCTION("""COMPUTED_VALUE"""),"Carton")</f>
        <v>Carton</v>
      </c>
      <c r="P657" s="9">
        <f>IFERROR(__xludf.DUMMYFUNCTION("""COMPUTED_VALUE"""),110.0)</f>
        <v>110</v>
      </c>
      <c r="Q657" s="9" t="str">
        <f>IFERROR(__xludf.DUMMYFUNCTION("""COMPUTED_VALUE"""),"Q1'23")</f>
        <v>Q1'23</v>
      </c>
      <c r="R657" s="9">
        <f>IFERROR(__xludf.DUMMYFUNCTION("""COMPUTED_VALUE"""),1.1903613778265432)</f>
        <v>1.190361378</v>
      </c>
    </row>
    <row r="658" ht="14.25" customHeight="1">
      <c r="A658" s="3" t="s">
        <v>25</v>
      </c>
      <c r="B658" s="6" t="s">
        <v>38</v>
      </c>
      <c r="C658" s="3" t="s">
        <v>39</v>
      </c>
      <c r="D658" s="3" t="s">
        <v>13</v>
      </c>
      <c r="E658" s="3" t="s">
        <v>14</v>
      </c>
      <c r="F658" s="3">
        <v>110.0</v>
      </c>
      <c r="G658" s="4" t="s">
        <v>20</v>
      </c>
      <c r="H658" s="3">
        <v>2.706692846569949</v>
      </c>
      <c r="K658" s="9" t="str">
        <f>IFERROR(__xludf.DUMMYFUNCTION("""COMPUTED_VALUE"""),"TT Off South")</f>
        <v>TT Off South</v>
      </c>
      <c r="L658" s="9" t="str">
        <f>IFERROR(__xludf.DUMMYFUNCTION("""COMPUTED_VALUE"""),"Joyi")</f>
        <v>Joyi</v>
      </c>
      <c r="M658" s="9" t="str">
        <f>IFERROR(__xludf.DUMMYFUNCTION("""COMPUTED_VALUE"""),"Smartmilk")</f>
        <v>Smartmilk</v>
      </c>
      <c r="N658" s="9" t="str">
        <f>IFERROR(__xludf.DUMMYFUNCTION("""COMPUTED_VALUE"""),"Sweetened")</f>
        <v>Sweetened</v>
      </c>
      <c r="O658" s="9" t="str">
        <f>IFERROR(__xludf.DUMMYFUNCTION("""COMPUTED_VALUE"""),"Carton")</f>
        <v>Carton</v>
      </c>
      <c r="P658" s="9">
        <f>IFERROR(__xludf.DUMMYFUNCTION("""COMPUTED_VALUE"""),110.0)</f>
        <v>110</v>
      </c>
      <c r="Q658" s="9" t="str">
        <f>IFERROR(__xludf.DUMMYFUNCTION("""COMPUTED_VALUE"""),"Q2'23")</f>
        <v>Q2'23</v>
      </c>
      <c r="R658" s="9">
        <f>IFERROR(__xludf.DUMMYFUNCTION("""COMPUTED_VALUE"""),0.8956604701456591)</f>
        <v>0.8956604701</v>
      </c>
    </row>
    <row r="659" ht="14.25" customHeight="1">
      <c r="A659" s="3" t="s">
        <v>25</v>
      </c>
      <c r="B659" s="6" t="s">
        <v>38</v>
      </c>
      <c r="C659" s="3" t="s">
        <v>39</v>
      </c>
      <c r="D659" s="3" t="s">
        <v>13</v>
      </c>
      <c r="E659" s="3" t="s">
        <v>14</v>
      </c>
      <c r="F659" s="3">
        <v>110.0</v>
      </c>
      <c r="G659" s="4" t="s">
        <v>21</v>
      </c>
      <c r="H659" s="3">
        <v>3.0417653764643324</v>
      </c>
      <c r="K659" s="9" t="str">
        <f>IFERROR(__xludf.DUMMYFUNCTION("""COMPUTED_VALUE"""),"TT Off South")</f>
        <v>TT Off South</v>
      </c>
      <c r="L659" s="9" t="str">
        <f>IFERROR(__xludf.DUMMYFUNCTION("""COMPUTED_VALUE"""),"Joyi")</f>
        <v>Joyi</v>
      </c>
      <c r="M659" s="9" t="str">
        <f>IFERROR(__xludf.DUMMYFUNCTION("""COMPUTED_VALUE"""),"Smartmilk")</f>
        <v>Smartmilk</v>
      </c>
      <c r="N659" s="9" t="str">
        <f>IFERROR(__xludf.DUMMYFUNCTION("""COMPUTED_VALUE"""),"Sweetened")</f>
        <v>Sweetened</v>
      </c>
      <c r="O659" s="9" t="str">
        <f>IFERROR(__xludf.DUMMYFUNCTION("""COMPUTED_VALUE"""),"Carton")</f>
        <v>Carton</v>
      </c>
      <c r="P659" s="9">
        <f>IFERROR(__xludf.DUMMYFUNCTION("""COMPUTED_VALUE"""),110.0)</f>
        <v>110</v>
      </c>
      <c r="Q659" s="9" t="str">
        <f>IFERROR(__xludf.DUMMYFUNCTION("""COMPUTED_VALUE"""),"Q3'23")</f>
        <v>Q3'23</v>
      </c>
      <c r="R659" s="9">
        <f>IFERROR(__xludf.DUMMYFUNCTION("""COMPUTED_VALUE"""),1.1235422622886466)</f>
        <v>1.123542262</v>
      </c>
    </row>
    <row r="660" ht="14.25" customHeight="1">
      <c r="A660" s="3" t="s">
        <v>25</v>
      </c>
      <c r="B660" s="6" t="s">
        <v>38</v>
      </c>
      <c r="C660" s="3" t="s">
        <v>39</v>
      </c>
      <c r="D660" s="3" t="s">
        <v>13</v>
      </c>
      <c r="E660" s="3" t="s">
        <v>14</v>
      </c>
      <c r="F660" s="3">
        <v>110.0</v>
      </c>
      <c r="G660" s="4" t="s">
        <v>22</v>
      </c>
      <c r="H660" s="3">
        <v>3.4523825288705052</v>
      </c>
      <c r="K660" s="9" t="str">
        <f>IFERROR(__xludf.DUMMYFUNCTION("""COMPUTED_VALUE"""),"TT Off South")</f>
        <v>TT Off South</v>
      </c>
      <c r="L660" s="9" t="str">
        <f>IFERROR(__xludf.DUMMYFUNCTION("""COMPUTED_VALUE"""),"Joyi")</f>
        <v>Joyi</v>
      </c>
      <c r="M660" s="9" t="str">
        <f>IFERROR(__xludf.DUMMYFUNCTION("""COMPUTED_VALUE"""),"Smartmilk")</f>
        <v>Smartmilk</v>
      </c>
      <c r="N660" s="9" t="str">
        <f>IFERROR(__xludf.DUMMYFUNCTION("""COMPUTED_VALUE"""),"Sweetened")</f>
        <v>Sweetened</v>
      </c>
      <c r="O660" s="9" t="str">
        <f>IFERROR(__xludf.DUMMYFUNCTION("""COMPUTED_VALUE"""),"Carton")</f>
        <v>Carton</v>
      </c>
      <c r="P660" s="9">
        <f>IFERROR(__xludf.DUMMYFUNCTION("""COMPUTED_VALUE"""),110.0)</f>
        <v>110</v>
      </c>
      <c r="Q660" s="9" t="str">
        <f>IFERROR(__xludf.DUMMYFUNCTION("""COMPUTED_VALUE"""),"Q4'23")</f>
        <v>Q4'23</v>
      </c>
      <c r="R660" s="9">
        <f>IFERROR(__xludf.DUMMYFUNCTION("""COMPUTED_VALUE"""),1.0259541147962947)</f>
        <v>1.025954115</v>
      </c>
    </row>
    <row r="661" ht="14.25" customHeight="1">
      <c r="A661" s="3" t="s">
        <v>25</v>
      </c>
      <c r="B661" s="6" t="s">
        <v>38</v>
      </c>
      <c r="C661" s="3" t="s">
        <v>39</v>
      </c>
      <c r="D661" s="3" t="s">
        <v>13</v>
      </c>
      <c r="E661" s="3" t="s">
        <v>14</v>
      </c>
      <c r="F661" s="3">
        <v>170.0</v>
      </c>
      <c r="G661" s="4" t="s">
        <v>15</v>
      </c>
      <c r="H661" s="3">
        <v>5.680756243956527</v>
      </c>
      <c r="K661" s="9" t="str">
        <f>IFERROR(__xludf.DUMMYFUNCTION("""COMPUTED_VALUE"""),"TT Off South")</f>
        <v>TT Off South</v>
      </c>
      <c r="L661" s="9" t="str">
        <f>IFERROR(__xludf.DUMMYFUNCTION("""COMPUTED_VALUE"""),"Joyi")</f>
        <v>Joyi</v>
      </c>
      <c r="M661" s="9" t="str">
        <f>IFERROR(__xludf.DUMMYFUNCTION("""COMPUTED_VALUE"""),"Smartmilk")</f>
        <v>Smartmilk</v>
      </c>
      <c r="N661" s="9" t="str">
        <f>IFERROR(__xludf.DUMMYFUNCTION("""COMPUTED_VALUE"""),"Sweetened")</f>
        <v>Sweetened</v>
      </c>
      <c r="O661" s="9" t="str">
        <f>IFERROR(__xludf.DUMMYFUNCTION("""COMPUTED_VALUE"""),"Carton")</f>
        <v>Carton</v>
      </c>
      <c r="P661" s="9">
        <f>IFERROR(__xludf.DUMMYFUNCTION("""COMPUTED_VALUE"""),170.0)</f>
        <v>170</v>
      </c>
      <c r="Q661" s="9" t="str">
        <f>IFERROR(__xludf.DUMMYFUNCTION("""COMPUTED_VALUE"""),"Q1'22")</f>
        <v>Q1'22</v>
      </c>
      <c r="R661" s="9">
        <f>IFERROR(__xludf.DUMMYFUNCTION("""COMPUTED_VALUE"""),2.1578237312937265)</f>
        <v>2.157823731</v>
      </c>
    </row>
    <row r="662" ht="14.25" customHeight="1">
      <c r="A662" s="3" t="s">
        <v>25</v>
      </c>
      <c r="B662" s="6" t="s">
        <v>38</v>
      </c>
      <c r="C662" s="3" t="s">
        <v>39</v>
      </c>
      <c r="D662" s="3" t="s">
        <v>13</v>
      </c>
      <c r="E662" s="3" t="s">
        <v>14</v>
      </c>
      <c r="F662" s="3">
        <v>170.0</v>
      </c>
      <c r="G662" s="4" t="s">
        <v>16</v>
      </c>
      <c r="H662" s="3">
        <v>5.640305325000883</v>
      </c>
      <c r="K662" s="9" t="str">
        <f>IFERROR(__xludf.DUMMYFUNCTION("""COMPUTED_VALUE"""),"TT Off South")</f>
        <v>TT Off South</v>
      </c>
      <c r="L662" s="9" t="str">
        <f>IFERROR(__xludf.DUMMYFUNCTION("""COMPUTED_VALUE"""),"Joyi")</f>
        <v>Joyi</v>
      </c>
      <c r="M662" s="9" t="str">
        <f>IFERROR(__xludf.DUMMYFUNCTION("""COMPUTED_VALUE"""),"Smartmilk")</f>
        <v>Smartmilk</v>
      </c>
      <c r="N662" s="9" t="str">
        <f>IFERROR(__xludf.DUMMYFUNCTION("""COMPUTED_VALUE"""),"Sweetened")</f>
        <v>Sweetened</v>
      </c>
      <c r="O662" s="9" t="str">
        <f>IFERROR(__xludf.DUMMYFUNCTION("""COMPUTED_VALUE"""),"Carton")</f>
        <v>Carton</v>
      </c>
      <c r="P662" s="9">
        <f>IFERROR(__xludf.DUMMYFUNCTION("""COMPUTED_VALUE"""),170.0)</f>
        <v>170</v>
      </c>
      <c r="Q662" s="9" t="str">
        <f>IFERROR(__xludf.DUMMYFUNCTION("""COMPUTED_VALUE"""),"Q2'22")</f>
        <v>Q2'22</v>
      </c>
      <c r="R662" s="9">
        <f>IFERROR(__xludf.DUMMYFUNCTION("""COMPUTED_VALUE"""),2.210659231940934)</f>
        <v>2.210659232</v>
      </c>
    </row>
    <row r="663" ht="14.25" customHeight="1">
      <c r="A663" s="3" t="s">
        <v>25</v>
      </c>
      <c r="B663" s="6" t="s">
        <v>38</v>
      </c>
      <c r="C663" s="3" t="s">
        <v>39</v>
      </c>
      <c r="D663" s="3" t="s">
        <v>13</v>
      </c>
      <c r="E663" s="3" t="s">
        <v>14</v>
      </c>
      <c r="F663" s="3">
        <v>170.0</v>
      </c>
      <c r="G663" s="4" t="s">
        <v>17</v>
      </c>
      <c r="H663" s="3">
        <v>6.124109073086357</v>
      </c>
      <c r="K663" s="9" t="str">
        <f>IFERROR(__xludf.DUMMYFUNCTION("""COMPUTED_VALUE"""),"TT Off South")</f>
        <v>TT Off South</v>
      </c>
      <c r="L663" s="9" t="str">
        <f>IFERROR(__xludf.DUMMYFUNCTION("""COMPUTED_VALUE"""),"Joyi")</f>
        <v>Joyi</v>
      </c>
      <c r="M663" s="9" t="str">
        <f>IFERROR(__xludf.DUMMYFUNCTION("""COMPUTED_VALUE"""),"Smartmilk")</f>
        <v>Smartmilk</v>
      </c>
      <c r="N663" s="9" t="str">
        <f>IFERROR(__xludf.DUMMYFUNCTION("""COMPUTED_VALUE"""),"Sweetened")</f>
        <v>Sweetened</v>
      </c>
      <c r="O663" s="9" t="str">
        <f>IFERROR(__xludf.DUMMYFUNCTION("""COMPUTED_VALUE"""),"Carton")</f>
        <v>Carton</v>
      </c>
      <c r="P663" s="9">
        <f>IFERROR(__xludf.DUMMYFUNCTION("""COMPUTED_VALUE"""),170.0)</f>
        <v>170</v>
      </c>
      <c r="Q663" s="9" t="str">
        <f>IFERROR(__xludf.DUMMYFUNCTION("""COMPUTED_VALUE"""),"Q3'22")</f>
        <v>Q3'22</v>
      </c>
      <c r="R663" s="9">
        <f>IFERROR(__xludf.DUMMYFUNCTION("""COMPUTED_VALUE"""),2.324928520861439)</f>
        <v>2.324928521</v>
      </c>
    </row>
    <row r="664" ht="14.25" customHeight="1">
      <c r="A664" s="3" t="s">
        <v>25</v>
      </c>
      <c r="B664" s="6" t="s">
        <v>38</v>
      </c>
      <c r="C664" s="3" t="s">
        <v>39</v>
      </c>
      <c r="D664" s="3" t="s">
        <v>13</v>
      </c>
      <c r="E664" s="3" t="s">
        <v>14</v>
      </c>
      <c r="F664" s="3">
        <v>170.0</v>
      </c>
      <c r="G664" s="4" t="s">
        <v>18</v>
      </c>
      <c r="H664" s="3">
        <v>5.102348070759817</v>
      </c>
      <c r="K664" s="9" t="str">
        <f>IFERROR(__xludf.DUMMYFUNCTION("""COMPUTED_VALUE"""),"TT Off South")</f>
        <v>TT Off South</v>
      </c>
      <c r="L664" s="9" t="str">
        <f>IFERROR(__xludf.DUMMYFUNCTION("""COMPUTED_VALUE"""),"Joyi")</f>
        <v>Joyi</v>
      </c>
      <c r="M664" s="9" t="str">
        <f>IFERROR(__xludf.DUMMYFUNCTION("""COMPUTED_VALUE"""),"Smartmilk")</f>
        <v>Smartmilk</v>
      </c>
      <c r="N664" s="9" t="str">
        <f>IFERROR(__xludf.DUMMYFUNCTION("""COMPUTED_VALUE"""),"Sweetened")</f>
        <v>Sweetened</v>
      </c>
      <c r="O664" s="9" t="str">
        <f>IFERROR(__xludf.DUMMYFUNCTION("""COMPUTED_VALUE"""),"Carton")</f>
        <v>Carton</v>
      </c>
      <c r="P664" s="9">
        <f>IFERROR(__xludf.DUMMYFUNCTION("""COMPUTED_VALUE"""),170.0)</f>
        <v>170</v>
      </c>
      <c r="Q664" s="9" t="str">
        <f>IFERROR(__xludf.DUMMYFUNCTION("""COMPUTED_VALUE"""),"Q4'22")</f>
        <v>Q4'22</v>
      </c>
      <c r="R664" s="9">
        <f>IFERROR(__xludf.DUMMYFUNCTION("""COMPUTED_VALUE"""),2.071709347585667)</f>
        <v>2.071709348</v>
      </c>
    </row>
    <row r="665" ht="14.25" customHeight="1">
      <c r="A665" s="3" t="s">
        <v>25</v>
      </c>
      <c r="B665" s="6" t="s">
        <v>38</v>
      </c>
      <c r="C665" s="3" t="s">
        <v>39</v>
      </c>
      <c r="D665" s="3" t="s">
        <v>13</v>
      </c>
      <c r="E665" s="3" t="s">
        <v>14</v>
      </c>
      <c r="F665" s="3">
        <v>170.0</v>
      </c>
      <c r="G665" s="4" t="s">
        <v>19</v>
      </c>
      <c r="H665" s="3">
        <v>4.577224349805996</v>
      </c>
      <c r="K665" s="9" t="str">
        <f>IFERROR(__xludf.DUMMYFUNCTION("""COMPUTED_VALUE"""),"TT Off South")</f>
        <v>TT Off South</v>
      </c>
      <c r="L665" s="9" t="str">
        <f>IFERROR(__xludf.DUMMYFUNCTION("""COMPUTED_VALUE"""),"Joyi")</f>
        <v>Joyi</v>
      </c>
      <c r="M665" s="9" t="str">
        <f>IFERROR(__xludf.DUMMYFUNCTION("""COMPUTED_VALUE"""),"Smartmilk")</f>
        <v>Smartmilk</v>
      </c>
      <c r="N665" s="9" t="str">
        <f>IFERROR(__xludf.DUMMYFUNCTION("""COMPUTED_VALUE"""),"Sweetened")</f>
        <v>Sweetened</v>
      </c>
      <c r="O665" s="9" t="str">
        <f>IFERROR(__xludf.DUMMYFUNCTION("""COMPUTED_VALUE"""),"Carton")</f>
        <v>Carton</v>
      </c>
      <c r="P665" s="9">
        <f>IFERROR(__xludf.DUMMYFUNCTION("""COMPUTED_VALUE"""),170.0)</f>
        <v>170</v>
      </c>
      <c r="Q665" s="9" t="str">
        <f>IFERROR(__xludf.DUMMYFUNCTION("""COMPUTED_VALUE"""),"Q1'23")</f>
        <v>Q1'23</v>
      </c>
      <c r="R665" s="9">
        <f>IFERROR(__xludf.DUMMYFUNCTION("""COMPUTED_VALUE"""),1.9020824792254323)</f>
        <v>1.902082479</v>
      </c>
    </row>
    <row r="666" ht="14.25" customHeight="1">
      <c r="A666" s="3" t="s">
        <v>25</v>
      </c>
      <c r="B666" s="6" t="s">
        <v>38</v>
      </c>
      <c r="C666" s="3" t="s">
        <v>39</v>
      </c>
      <c r="D666" s="3" t="s">
        <v>13</v>
      </c>
      <c r="E666" s="3" t="s">
        <v>14</v>
      </c>
      <c r="F666" s="3">
        <v>170.0</v>
      </c>
      <c r="G666" s="4" t="s">
        <v>20</v>
      </c>
      <c r="H666" s="3">
        <v>4.3927807871946385</v>
      </c>
      <c r="K666" s="9" t="str">
        <f>IFERROR(__xludf.DUMMYFUNCTION("""COMPUTED_VALUE"""),"TT Off South")</f>
        <v>TT Off South</v>
      </c>
      <c r="L666" s="9" t="str">
        <f>IFERROR(__xludf.DUMMYFUNCTION("""COMPUTED_VALUE"""),"Joyi")</f>
        <v>Joyi</v>
      </c>
      <c r="M666" s="9" t="str">
        <f>IFERROR(__xludf.DUMMYFUNCTION("""COMPUTED_VALUE"""),"Smartmilk")</f>
        <v>Smartmilk</v>
      </c>
      <c r="N666" s="9" t="str">
        <f>IFERROR(__xludf.DUMMYFUNCTION("""COMPUTED_VALUE"""),"Sweetened")</f>
        <v>Sweetened</v>
      </c>
      <c r="O666" s="9" t="str">
        <f>IFERROR(__xludf.DUMMYFUNCTION("""COMPUTED_VALUE"""),"Carton")</f>
        <v>Carton</v>
      </c>
      <c r="P666" s="9">
        <f>IFERROR(__xludf.DUMMYFUNCTION("""COMPUTED_VALUE"""),170.0)</f>
        <v>170</v>
      </c>
      <c r="Q666" s="9" t="str">
        <f>IFERROR(__xludf.DUMMYFUNCTION("""COMPUTED_VALUE"""),"Q2'23")</f>
        <v>Q2'23</v>
      </c>
      <c r="R666" s="9">
        <f>IFERROR(__xludf.DUMMYFUNCTION("""COMPUTED_VALUE"""),1.614787409995835)</f>
        <v>1.61478741</v>
      </c>
    </row>
    <row r="667" ht="14.25" customHeight="1">
      <c r="A667" s="3" t="s">
        <v>25</v>
      </c>
      <c r="B667" s="6" t="s">
        <v>38</v>
      </c>
      <c r="C667" s="3" t="s">
        <v>39</v>
      </c>
      <c r="D667" s="3" t="s">
        <v>13</v>
      </c>
      <c r="E667" s="3" t="s">
        <v>14</v>
      </c>
      <c r="F667" s="3">
        <v>170.0</v>
      </c>
      <c r="G667" s="4" t="s">
        <v>21</v>
      </c>
      <c r="H667" s="3">
        <v>4.5888949356757625</v>
      </c>
      <c r="K667" s="9" t="str">
        <f>IFERROR(__xludf.DUMMYFUNCTION("""COMPUTED_VALUE"""),"TT Off South")</f>
        <v>TT Off South</v>
      </c>
      <c r="L667" s="9" t="str">
        <f>IFERROR(__xludf.DUMMYFUNCTION("""COMPUTED_VALUE"""),"Joyi")</f>
        <v>Joyi</v>
      </c>
      <c r="M667" s="9" t="str">
        <f>IFERROR(__xludf.DUMMYFUNCTION("""COMPUTED_VALUE"""),"Smartmilk")</f>
        <v>Smartmilk</v>
      </c>
      <c r="N667" s="9" t="str">
        <f>IFERROR(__xludf.DUMMYFUNCTION("""COMPUTED_VALUE"""),"Sweetened")</f>
        <v>Sweetened</v>
      </c>
      <c r="O667" s="9" t="str">
        <f>IFERROR(__xludf.DUMMYFUNCTION("""COMPUTED_VALUE"""),"Carton")</f>
        <v>Carton</v>
      </c>
      <c r="P667" s="9">
        <f>IFERROR(__xludf.DUMMYFUNCTION("""COMPUTED_VALUE"""),170.0)</f>
        <v>170</v>
      </c>
      <c r="Q667" s="9" t="str">
        <f>IFERROR(__xludf.DUMMYFUNCTION("""COMPUTED_VALUE"""),"Q3'23")</f>
        <v>Q3'23</v>
      </c>
      <c r="R667" s="9">
        <f>IFERROR(__xludf.DUMMYFUNCTION("""COMPUTED_VALUE"""),1.6576197715486234)</f>
        <v>1.657619772</v>
      </c>
    </row>
    <row r="668" ht="14.25" customHeight="1">
      <c r="A668" s="3" t="s">
        <v>25</v>
      </c>
      <c r="B668" s="6" t="s">
        <v>38</v>
      </c>
      <c r="C668" s="3" t="s">
        <v>39</v>
      </c>
      <c r="D668" s="3" t="s">
        <v>13</v>
      </c>
      <c r="E668" s="3" t="s">
        <v>14</v>
      </c>
      <c r="F668" s="3">
        <v>170.0</v>
      </c>
      <c r="G668" s="4" t="s">
        <v>22</v>
      </c>
      <c r="H668" s="3">
        <v>4.963709803009067</v>
      </c>
      <c r="K668" s="9" t="str">
        <f>IFERROR(__xludf.DUMMYFUNCTION("""COMPUTED_VALUE"""),"TT Off South")</f>
        <v>TT Off South</v>
      </c>
      <c r="L668" s="9" t="str">
        <f>IFERROR(__xludf.DUMMYFUNCTION("""COMPUTED_VALUE"""),"Joyi")</f>
        <v>Joyi</v>
      </c>
      <c r="M668" s="9" t="str">
        <f>IFERROR(__xludf.DUMMYFUNCTION("""COMPUTED_VALUE"""),"Smartmilk")</f>
        <v>Smartmilk</v>
      </c>
      <c r="N668" s="9" t="str">
        <f>IFERROR(__xludf.DUMMYFUNCTION("""COMPUTED_VALUE"""),"Sweetened")</f>
        <v>Sweetened</v>
      </c>
      <c r="O668" s="9" t="str">
        <f>IFERROR(__xludf.DUMMYFUNCTION("""COMPUTED_VALUE"""),"Carton")</f>
        <v>Carton</v>
      </c>
      <c r="P668" s="9">
        <f>IFERROR(__xludf.DUMMYFUNCTION("""COMPUTED_VALUE"""),170.0)</f>
        <v>170</v>
      </c>
      <c r="Q668" s="9" t="str">
        <f>IFERROR(__xludf.DUMMYFUNCTION("""COMPUTED_VALUE"""),"Q4'23")</f>
        <v>Q4'23</v>
      </c>
      <c r="R668" s="9">
        <f>IFERROR(__xludf.DUMMYFUNCTION("""COMPUTED_VALUE"""),1.912256792190891)</f>
        <v>1.912256792</v>
      </c>
    </row>
    <row r="669" ht="14.25" customHeight="1">
      <c r="A669" s="3" t="s">
        <v>25</v>
      </c>
      <c r="B669" s="6" t="s">
        <v>38</v>
      </c>
      <c r="C669" s="3" t="s">
        <v>40</v>
      </c>
      <c r="D669" s="3" t="s">
        <v>31</v>
      </c>
      <c r="E669" s="3" t="s">
        <v>14</v>
      </c>
      <c r="F669" s="3">
        <v>180.0</v>
      </c>
      <c r="G669" s="4" t="s">
        <v>15</v>
      </c>
      <c r="H669" s="3">
        <v>0.6928208092369158</v>
      </c>
      <c r="K669" s="9" t="str">
        <f>IFERROR(__xludf.DUMMYFUNCTION("""COMPUTED_VALUE"""),"TT Off South")</f>
        <v>TT Off South</v>
      </c>
      <c r="L669" s="9" t="str">
        <f>IFERROR(__xludf.DUMMYFUNCTION("""COMPUTED_VALUE"""),"Joyi")</f>
        <v>Joyi</v>
      </c>
      <c r="M669" s="9" t="str">
        <f>IFERROR(__xludf.DUMMYFUNCTION("""COMPUTED_VALUE"""),"Star")</f>
        <v>Star</v>
      </c>
      <c r="N669" s="9" t="str">
        <f>IFERROR(__xludf.DUMMYFUNCTION("""COMPUTED_VALUE"""),"Strawberry")</f>
        <v>Strawberry</v>
      </c>
      <c r="O669" s="9" t="str">
        <f>IFERROR(__xludf.DUMMYFUNCTION("""COMPUTED_VALUE"""),"Carton")</f>
        <v>Carton</v>
      </c>
      <c r="P669" s="9">
        <f>IFERROR(__xludf.DUMMYFUNCTION("""COMPUTED_VALUE"""),180.0)</f>
        <v>180</v>
      </c>
      <c r="Q669" s="9" t="str">
        <f>IFERROR(__xludf.DUMMYFUNCTION("""COMPUTED_VALUE"""),"Q1'22")</f>
        <v>Q1'22</v>
      </c>
      <c r="R669" s="9">
        <f>IFERROR(__xludf.DUMMYFUNCTION("""COMPUTED_VALUE"""),2.0392715005324287)</f>
        <v>2.039271501</v>
      </c>
    </row>
    <row r="670" ht="14.25" customHeight="1">
      <c r="A670" s="3" t="s">
        <v>25</v>
      </c>
      <c r="B670" s="6" t="s">
        <v>38</v>
      </c>
      <c r="C670" s="3" t="s">
        <v>40</v>
      </c>
      <c r="D670" s="3" t="s">
        <v>31</v>
      </c>
      <c r="E670" s="3" t="s">
        <v>14</v>
      </c>
      <c r="F670" s="3">
        <v>180.0</v>
      </c>
      <c r="G670" s="4" t="s">
        <v>16</v>
      </c>
      <c r="H670" s="3">
        <v>0.9701281352008783</v>
      </c>
      <c r="K670" s="9" t="str">
        <f>IFERROR(__xludf.DUMMYFUNCTION("""COMPUTED_VALUE"""),"TT Off South")</f>
        <v>TT Off South</v>
      </c>
      <c r="L670" s="9" t="str">
        <f>IFERROR(__xludf.DUMMYFUNCTION("""COMPUTED_VALUE"""),"Joyi")</f>
        <v>Joyi</v>
      </c>
      <c r="M670" s="9" t="str">
        <f>IFERROR(__xludf.DUMMYFUNCTION("""COMPUTED_VALUE"""),"Star")</f>
        <v>Star</v>
      </c>
      <c r="N670" s="9" t="str">
        <f>IFERROR(__xludf.DUMMYFUNCTION("""COMPUTED_VALUE"""),"Strawberry")</f>
        <v>Strawberry</v>
      </c>
      <c r="O670" s="9" t="str">
        <f>IFERROR(__xludf.DUMMYFUNCTION("""COMPUTED_VALUE"""),"Carton")</f>
        <v>Carton</v>
      </c>
      <c r="P670" s="9">
        <f>IFERROR(__xludf.DUMMYFUNCTION("""COMPUTED_VALUE"""),180.0)</f>
        <v>180</v>
      </c>
      <c r="Q670" s="9" t="str">
        <f>IFERROR(__xludf.DUMMYFUNCTION("""COMPUTED_VALUE"""),"Q2'22")</f>
        <v>Q2'22</v>
      </c>
      <c r="R670" s="9">
        <f>IFERROR(__xludf.DUMMYFUNCTION("""COMPUTED_VALUE"""),1.9730472864554605)</f>
        <v>1.973047286</v>
      </c>
    </row>
    <row r="671" ht="14.25" customHeight="1">
      <c r="A671" s="3" t="s">
        <v>25</v>
      </c>
      <c r="B671" s="6" t="s">
        <v>38</v>
      </c>
      <c r="C671" s="3" t="s">
        <v>40</v>
      </c>
      <c r="D671" s="3" t="s">
        <v>31</v>
      </c>
      <c r="E671" s="3" t="s">
        <v>14</v>
      </c>
      <c r="F671" s="3">
        <v>180.0</v>
      </c>
      <c r="G671" s="4" t="s">
        <v>17</v>
      </c>
      <c r="H671" s="3">
        <v>0.793184675246602</v>
      </c>
      <c r="K671" s="9" t="str">
        <f>IFERROR(__xludf.DUMMYFUNCTION("""COMPUTED_VALUE"""),"TT Off South")</f>
        <v>TT Off South</v>
      </c>
      <c r="L671" s="9" t="str">
        <f>IFERROR(__xludf.DUMMYFUNCTION("""COMPUTED_VALUE"""),"Joyi")</f>
        <v>Joyi</v>
      </c>
      <c r="M671" s="9" t="str">
        <f>IFERROR(__xludf.DUMMYFUNCTION("""COMPUTED_VALUE"""),"Star")</f>
        <v>Star</v>
      </c>
      <c r="N671" s="9" t="str">
        <f>IFERROR(__xludf.DUMMYFUNCTION("""COMPUTED_VALUE"""),"Strawberry")</f>
        <v>Strawberry</v>
      </c>
      <c r="O671" s="9" t="str">
        <f>IFERROR(__xludf.DUMMYFUNCTION("""COMPUTED_VALUE"""),"Carton")</f>
        <v>Carton</v>
      </c>
      <c r="P671" s="9">
        <f>IFERROR(__xludf.DUMMYFUNCTION("""COMPUTED_VALUE"""),180.0)</f>
        <v>180</v>
      </c>
      <c r="Q671" s="9" t="str">
        <f>IFERROR(__xludf.DUMMYFUNCTION("""COMPUTED_VALUE"""),"Q3'22")</f>
        <v>Q3'22</v>
      </c>
      <c r="R671" s="9">
        <f>IFERROR(__xludf.DUMMYFUNCTION("""COMPUTED_VALUE"""),2.0472529804009314)</f>
        <v>2.04725298</v>
      </c>
    </row>
    <row r="672" ht="14.25" customHeight="1">
      <c r="A672" s="3" t="s">
        <v>25</v>
      </c>
      <c r="B672" s="6" t="s">
        <v>38</v>
      </c>
      <c r="C672" s="3" t="s">
        <v>40</v>
      </c>
      <c r="D672" s="3" t="s">
        <v>31</v>
      </c>
      <c r="E672" s="3" t="s">
        <v>14</v>
      </c>
      <c r="F672" s="3">
        <v>180.0</v>
      </c>
      <c r="G672" s="4" t="s">
        <v>18</v>
      </c>
      <c r="H672" s="3">
        <v>0.7013190232624087</v>
      </c>
      <c r="K672" s="9" t="str">
        <f>IFERROR(__xludf.DUMMYFUNCTION("""COMPUTED_VALUE"""),"TT Off South")</f>
        <v>TT Off South</v>
      </c>
      <c r="L672" s="9" t="str">
        <f>IFERROR(__xludf.DUMMYFUNCTION("""COMPUTED_VALUE"""),"Joyi")</f>
        <v>Joyi</v>
      </c>
      <c r="M672" s="9" t="str">
        <f>IFERROR(__xludf.DUMMYFUNCTION("""COMPUTED_VALUE"""),"Star")</f>
        <v>Star</v>
      </c>
      <c r="N672" s="9" t="str">
        <f>IFERROR(__xludf.DUMMYFUNCTION("""COMPUTED_VALUE"""),"Strawberry")</f>
        <v>Strawberry</v>
      </c>
      <c r="O672" s="9" t="str">
        <f>IFERROR(__xludf.DUMMYFUNCTION("""COMPUTED_VALUE"""),"Carton")</f>
        <v>Carton</v>
      </c>
      <c r="P672" s="9">
        <f>IFERROR(__xludf.DUMMYFUNCTION("""COMPUTED_VALUE"""),180.0)</f>
        <v>180</v>
      </c>
      <c r="Q672" s="9" t="str">
        <f>IFERROR(__xludf.DUMMYFUNCTION("""COMPUTED_VALUE"""),"Q4'22")</f>
        <v>Q4'22</v>
      </c>
      <c r="R672" s="9">
        <f>IFERROR(__xludf.DUMMYFUNCTION("""COMPUTED_VALUE"""),2.036421928550369)</f>
        <v>2.036421929</v>
      </c>
    </row>
    <row r="673" ht="14.25" customHeight="1">
      <c r="A673" s="3" t="s">
        <v>25</v>
      </c>
      <c r="B673" s="6" t="s">
        <v>38</v>
      </c>
      <c r="C673" s="3" t="s">
        <v>40</v>
      </c>
      <c r="D673" s="3" t="s">
        <v>31</v>
      </c>
      <c r="E673" s="3" t="s">
        <v>14</v>
      </c>
      <c r="F673" s="3">
        <v>180.0</v>
      </c>
      <c r="G673" s="4" t="s">
        <v>19</v>
      </c>
      <c r="H673" s="3">
        <v>0.5521444778663134</v>
      </c>
      <c r="K673" s="9" t="str">
        <f>IFERROR(__xludf.DUMMYFUNCTION("""COMPUTED_VALUE"""),"TT Off South")</f>
        <v>TT Off South</v>
      </c>
      <c r="L673" s="9" t="str">
        <f>IFERROR(__xludf.DUMMYFUNCTION("""COMPUTED_VALUE"""),"Joyi")</f>
        <v>Joyi</v>
      </c>
      <c r="M673" s="9" t="str">
        <f>IFERROR(__xludf.DUMMYFUNCTION("""COMPUTED_VALUE"""),"Star")</f>
        <v>Star</v>
      </c>
      <c r="N673" s="9" t="str">
        <f>IFERROR(__xludf.DUMMYFUNCTION("""COMPUTED_VALUE"""),"Strawberry")</f>
        <v>Strawberry</v>
      </c>
      <c r="O673" s="9" t="str">
        <f>IFERROR(__xludf.DUMMYFUNCTION("""COMPUTED_VALUE"""),"Carton")</f>
        <v>Carton</v>
      </c>
      <c r="P673" s="9">
        <f>IFERROR(__xludf.DUMMYFUNCTION("""COMPUTED_VALUE"""),180.0)</f>
        <v>180</v>
      </c>
      <c r="Q673" s="9" t="str">
        <f>IFERROR(__xludf.DUMMYFUNCTION("""COMPUTED_VALUE"""),"Q1'23")</f>
        <v>Q1'23</v>
      </c>
      <c r="R673" s="9">
        <f>IFERROR(__xludf.DUMMYFUNCTION("""COMPUTED_VALUE"""),1.7995648776050637)</f>
        <v>1.799564878</v>
      </c>
    </row>
    <row r="674" ht="14.25" customHeight="1">
      <c r="A674" s="3" t="s">
        <v>25</v>
      </c>
      <c r="B674" s="6" t="s">
        <v>38</v>
      </c>
      <c r="C674" s="3" t="s">
        <v>40</v>
      </c>
      <c r="D674" s="3" t="s">
        <v>31</v>
      </c>
      <c r="E674" s="3" t="s">
        <v>14</v>
      </c>
      <c r="F674" s="3">
        <v>180.0</v>
      </c>
      <c r="G674" s="4" t="s">
        <v>20</v>
      </c>
      <c r="H674" s="3">
        <v>0.3432246878731313</v>
      </c>
      <c r="K674" s="9" t="str">
        <f>IFERROR(__xludf.DUMMYFUNCTION("""COMPUTED_VALUE"""),"TT Off South")</f>
        <v>TT Off South</v>
      </c>
      <c r="L674" s="9" t="str">
        <f>IFERROR(__xludf.DUMMYFUNCTION("""COMPUTED_VALUE"""),"Joyi")</f>
        <v>Joyi</v>
      </c>
      <c r="M674" s="9" t="str">
        <f>IFERROR(__xludf.DUMMYFUNCTION("""COMPUTED_VALUE"""),"Star")</f>
        <v>Star</v>
      </c>
      <c r="N674" s="9" t="str">
        <f>IFERROR(__xludf.DUMMYFUNCTION("""COMPUTED_VALUE"""),"Strawberry")</f>
        <v>Strawberry</v>
      </c>
      <c r="O674" s="9" t="str">
        <f>IFERROR(__xludf.DUMMYFUNCTION("""COMPUTED_VALUE"""),"Carton")</f>
        <v>Carton</v>
      </c>
      <c r="P674" s="9">
        <f>IFERROR(__xludf.DUMMYFUNCTION("""COMPUTED_VALUE"""),180.0)</f>
        <v>180</v>
      </c>
      <c r="Q674" s="9" t="str">
        <f>IFERROR(__xludf.DUMMYFUNCTION("""COMPUTED_VALUE"""),"Q2'23")</f>
        <v>Q2'23</v>
      </c>
      <c r="R674" s="9">
        <f>IFERROR(__xludf.DUMMYFUNCTION("""COMPUTED_VALUE"""),1.5386507145469737)</f>
        <v>1.538650715</v>
      </c>
    </row>
    <row r="675" ht="14.25" customHeight="1">
      <c r="A675" s="3" t="s">
        <v>25</v>
      </c>
      <c r="B675" s="6" t="s">
        <v>38</v>
      </c>
      <c r="C675" s="3" t="s">
        <v>40</v>
      </c>
      <c r="D675" s="3" t="s">
        <v>31</v>
      </c>
      <c r="E675" s="3" t="s">
        <v>14</v>
      </c>
      <c r="F675" s="3">
        <v>180.0</v>
      </c>
      <c r="G675" s="4" t="s">
        <v>21</v>
      </c>
      <c r="H675" s="3">
        <v>0.30402283537847874</v>
      </c>
      <c r="K675" s="9" t="str">
        <f>IFERROR(__xludf.DUMMYFUNCTION("""COMPUTED_VALUE"""),"TT Off South")</f>
        <v>TT Off South</v>
      </c>
      <c r="L675" s="9" t="str">
        <f>IFERROR(__xludf.DUMMYFUNCTION("""COMPUTED_VALUE"""),"Joyi")</f>
        <v>Joyi</v>
      </c>
      <c r="M675" s="9" t="str">
        <f>IFERROR(__xludf.DUMMYFUNCTION("""COMPUTED_VALUE"""),"Star")</f>
        <v>Star</v>
      </c>
      <c r="N675" s="9" t="str">
        <f>IFERROR(__xludf.DUMMYFUNCTION("""COMPUTED_VALUE"""),"Strawberry")</f>
        <v>Strawberry</v>
      </c>
      <c r="O675" s="9" t="str">
        <f>IFERROR(__xludf.DUMMYFUNCTION("""COMPUTED_VALUE"""),"Carton")</f>
        <v>Carton</v>
      </c>
      <c r="P675" s="9">
        <f>IFERROR(__xludf.DUMMYFUNCTION("""COMPUTED_VALUE"""),180.0)</f>
        <v>180</v>
      </c>
      <c r="Q675" s="9" t="str">
        <f>IFERROR(__xludf.DUMMYFUNCTION("""COMPUTED_VALUE"""),"Q3'23")</f>
        <v>Q3'23</v>
      </c>
      <c r="R675" s="9">
        <f>IFERROR(__xludf.DUMMYFUNCTION("""COMPUTED_VALUE"""),1.454738624855538)</f>
        <v>1.454738625</v>
      </c>
    </row>
    <row r="676" ht="14.25" customHeight="1">
      <c r="A676" s="3" t="s">
        <v>25</v>
      </c>
      <c r="B676" s="6" t="s">
        <v>38</v>
      </c>
      <c r="C676" s="3" t="s">
        <v>40</v>
      </c>
      <c r="D676" s="3" t="s">
        <v>31</v>
      </c>
      <c r="E676" s="3" t="s">
        <v>14</v>
      </c>
      <c r="F676" s="3">
        <v>180.0</v>
      </c>
      <c r="G676" s="4" t="s">
        <v>22</v>
      </c>
      <c r="H676" s="3">
        <v>0.3221556065193466</v>
      </c>
      <c r="K676" s="9" t="str">
        <f>IFERROR(__xludf.DUMMYFUNCTION("""COMPUTED_VALUE"""),"TT Off South")</f>
        <v>TT Off South</v>
      </c>
      <c r="L676" s="9" t="str">
        <f>IFERROR(__xludf.DUMMYFUNCTION("""COMPUTED_VALUE"""),"Joyi")</f>
        <v>Joyi</v>
      </c>
      <c r="M676" s="9" t="str">
        <f>IFERROR(__xludf.DUMMYFUNCTION("""COMPUTED_VALUE"""),"Star")</f>
        <v>Star</v>
      </c>
      <c r="N676" s="9" t="str">
        <f>IFERROR(__xludf.DUMMYFUNCTION("""COMPUTED_VALUE"""),"Strawberry")</f>
        <v>Strawberry</v>
      </c>
      <c r="O676" s="9" t="str">
        <f>IFERROR(__xludf.DUMMYFUNCTION("""COMPUTED_VALUE"""),"Carton")</f>
        <v>Carton</v>
      </c>
      <c r="P676" s="9">
        <f>IFERROR(__xludf.DUMMYFUNCTION("""COMPUTED_VALUE"""),180.0)</f>
        <v>180</v>
      </c>
      <c r="Q676" s="9" t="str">
        <f>IFERROR(__xludf.DUMMYFUNCTION("""COMPUTED_VALUE"""),"Q4'23")</f>
        <v>Q4'23</v>
      </c>
      <c r="R676" s="9">
        <f>IFERROR(__xludf.DUMMYFUNCTION("""COMPUTED_VALUE"""),1.597692606810278)</f>
        <v>1.597692607</v>
      </c>
    </row>
    <row r="677" ht="14.25" customHeight="1">
      <c r="A677" s="3" t="s">
        <v>25</v>
      </c>
      <c r="B677" s="6" t="s">
        <v>38</v>
      </c>
      <c r="C677" s="3" t="s">
        <v>40</v>
      </c>
      <c r="D677" s="3" t="s">
        <v>13</v>
      </c>
      <c r="E677" s="3" t="s">
        <v>14</v>
      </c>
      <c r="F677" s="3">
        <v>110.0</v>
      </c>
      <c r="G677" s="4" t="s">
        <v>15</v>
      </c>
      <c r="H677" s="3">
        <v>1.332513140618451</v>
      </c>
      <c r="K677" s="9" t="str">
        <f>IFERROR(__xludf.DUMMYFUNCTION("""COMPUTED_VALUE"""),"TT Off South")</f>
        <v>TT Off South</v>
      </c>
      <c r="L677" s="9" t="str">
        <f>IFERROR(__xludf.DUMMYFUNCTION("""COMPUTED_VALUE"""),"Joyi")</f>
        <v>Joyi</v>
      </c>
      <c r="M677" s="9" t="str">
        <f>IFERROR(__xludf.DUMMYFUNCTION("""COMPUTED_VALUE"""),"Star")</f>
        <v>Star</v>
      </c>
      <c r="N677" s="9" t="str">
        <f>IFERROR(__xludf.DUMMYFUNCTION("""COMPUTED_VALUE"""),"Sweetened")</f>
        <v>Sweetened</v>
      </c>
      <c r="O677" s="9" t="str">
        <f>IFERROR(__xludf.DUMMYFUNCTION("""COMPUTED_VALUE"""),"Carton")</f>
        <v>Carton</v>
      </c>
      <c r="P677" s="9">
        <f>IFERROR(__xludf.DUMMYFUNCTION("""COMPUTED_VALUE"""),110.0)</f>
        <v>110</v>
      </c>
      <c r="Q677" s="9" t="str">
        <f>IFERROR(__xludf.DUMMYFUNCTION("""COMPUTED_VALUE"""),"Q1'22")</f>
        <v>Q1'22</v>
      </c>
      <c r="R677" s="9">
        <f>IFERROR(__xludf.DUMMYFUNCTION("""COMPUTED_VALUE"""),2.7926280574555564)</f>
        <v>2.792628057</v>
      </c>
    </row>
    <row r="678" ht="14.25" customHeight="1">
      <c r="A678" s="3" t="s">
        <v>25</v>
      </c>
      <c r="B678" s="6" t="s">
        <v>38</v>
      </c>
      <c r="C678" s="3" t="s">
        <v>40</v>
      </c>
      <c r="D678" s="3" t="s">
        <v>13</v>
      </c>
      <c r="E678" s="3" t="s">
        <v>14</v>
      </c>
      <c r="F678" s="3">
        <v>110.0</v>
      </c>
      <c r="G678" s="4" t="s">
        <v>16</v>
      </c>
      <c r="H678" s="3">
        <v>1.9902568901854742</v>
      </c>
      <c r="K678" s="9" t="str">
        <f>IFERROR(__xludf.DUMMYFUNCTION("""COMPUTED_VALUE"""),"TT Off South")</f>
        <v>TT Off South</v>
      </c>
      <c r="L678" s="9" t="str">
        <f>IFERROR(__xludf.DUMMYFUNCTION("""COMPUTED_VALUE"""),"Joyi")</f>
        <v>Joyi</v>
      </c>
      <c r="M678" s="9" t="str">
        <f>IFERROR(__xludf.DUMMYFUNCTION("""COMPUTED_VALUE"""),"Star")</f>
        <v>Star</v>
      </c>
      <c r="N678" s="9" t="str">
        <f>IFERROR(__xludf.DUMMYFUNCTION("""COMPUTED_VALUE"""),"Sweetened")</f>
        <v>Sweetened</v>
      </c>
      <c r="O678" s="9" t="str">
        <f>IFERROR(__xludf.DUMMYFUNCTION("""COMPUTED_VALUE"""),"Carton")</f>
        <v>Carton</v>
      </c>
      <c r="P678" s="9">
        <f>IFERROR(__xludf.DUMMYFUNCTION("""COMPUTED_VALUE"""),110.0)</f>
        <v>110</v>
      </c>
      <c r="Q678" s="9" t="str">
        <f>IFERROR(__xludf.DUMMYFUNCTION("""COMPUTED_VALUE"""),"Q2'22")</f>
        <v>Q2'22</v>
      </c>
      <c r="R678" s="9">
        <f>IFERROR(__xludf.DUMMYFUNCTION("""COMPUTED_VALUE"""),2.632880759674395)</f>
        <v>2.63288076</v>
      </c>
    </row>
    <row r="679" ht="14.25" customHeight="1">
      <c r="A679" s="3" t="s">
        <v>25</v>
      </c>
      <c r="B679" s="6" t="s">
        <v>38</v>
      </c>
      <c r="C679" s="3" t="s">
        <v>40</v>
      </c>
      <c r="D679" s="3" t="s">
        <v>13</v>
      </c>
      <c r="E679" s="3" t="s">
        <v>14</v>
      </c>
      <c r="F679" s="3">
        <v>110.0</v>
      </c>
      <c r="G679" s="4" t="s">
        <v>17</v>
      </c>
      <c r="H679" s="3">
        <v>1.8307826945372894</v>
      </c>
      <c r="K679" s="9" t="str">
        <f>IFERROR(__xludf.DUMMYFUNCTION("""COMPUTED_VALUE"""),"TT Off South")</f>
        <v>TT Off South</v>
      </c>
      <c r="L679" s="9" t="str">
        <f>IFERROR(__xludf.DUMMYFUNCTION("""COMPUTED_VALUE"""),"Joyi")</f>
        <v>Joyi</v>
      </c>
      <c r="M679" s="9" t="str">
        <f>IFERROR(__xludf.DUMMYFUNCTION("""COMPUTED_VALUE"""),"Star")</f>
        <v>Star</v>
      </c>
      <c r="N679" s="9" t="str">
        <f>IFERROR(__xludf.DUMMYFUNCTION("""COMPUTED_VALUE"""),"Sweetened")</f>
        <v>Sweetened</v>
      </c>
      <c r="O679" s="9" t="str">
        <f>IFERROR(__xludf.DUMMYFUNCTION("""COMPUTED_VALUE"""),"Carton")</f>
        <v>Carton</v>
      </c>
      <c r="P679" s="9">
        <f>IFERROR(__xludf.DUMMYFUNCTION("""COMPUTED_VALUE"""),110.0)</f>
        <v>110</v>
      </c>
      <c r="Q679" s="9" t="str">
        <f>IFERROR(__xludf.DUMMYFUNCTION("""COMPUTED_VALUE"""),"Q3'22")</f>
        <v>Q3'22</v>
      </c>
      <c r="R679" s="9">
        <f>IFERROR(__xludf.DUMMYFUNCTION("""COMPUTED_VALUE"""),2.4569302194036675)</f>
        <v>2.456930219</v>
      </c>
    </row>
    <row r="680" ht="14.25" customHeight="1">
      <c r="A680" s="3" t="s">
        <v>25</v>
      </c>
      <c r="B680" s="6" t="s">
        <v>38</v>
      </c>
      <c r="C680" s="3" t="s">
        <v>40</v>
      </c>
      <c r="D680" s="3" t="s">
        <v>13</v>
      </c>
      <c r="E680" s="3" t="s">
        <v>14</v>
      </c>
      <c r="F680" s="3">
        <v>110.0</v>
      </c>
      <c r="G680" s="4" t="s">
        <v>18</v>
      </c>
      <c r="H680" s="3">
        <v>1.5754565505653688</v>
      </c>
      <c r="K680" s="9" t="str">
        <f>IFERROR(__xludf.DUMMYFUNCTION("""COMPUTED_VALUE"""),"TT Off South")</f>
        <v>TT Off South</v>
      </c>
      <c r="L680" s="9" t="str">
        <f>IFERROR(__xludf.DUMMYFUNCTION("""COMPUTED_VALUE"""),"Joyi")</f>
        <v>Joyi</v>
      </c>
      <c r="M680" s="9" t="str">
        <f>IFERROR(__xludf.DUMMYFUNCTION("""COMPUTED_VALUE"""),"Star")</f>
        <v>Star</v>
      </c>
      <c r="N680" s="9" t="str">
        <f>IFERROR(__xludf.DUMMYFUNCTION("""COMPUTED_VALUE"""),"Sweetened")</f>
        <v>Sweetened</v>
      </c>
      <c r="O680" s="9" t="str">
        <f>IFERROR(__xludf.DUMMYFUNCTION("""COMPUTED_VALUE"""),"Carton")</f>
        <v>Carton</v>
      </c>
      <c r="P680" s="9">
        <f>IFERROR(__xludf.DUMMYFUNCTION("""COMPUTED_VALUE"""),110.0)</f>
        <v>110</v>
      </c>
      <c r="Q680" s="9" t="str">
        <f>IFERROR(__xludf.DUMMYFUNCTION("""COMPUTED_VALUE"""),"Q4'22")</f>
        <v>Q4'22</v>
      </c>
      <c r="R680" s="9">
        <f>IFERROR(__xludf.DUMMYFUNCTION("""COMPUTED_VALUE"""),2.1555845938338125)</f>
        <v>2.155584594</v>
      </c>
    </row>
    <row r="681" ht="14.25" customHeight="1">
      <c r="A681" s="3" t="s">
        <v>25</v>
      </c>
      <c r="B681" s="6" t="s">
        <v>38</v>
      </c>
      <c r="C681" s="3" t="s">
        <v>40</v>
      </c>
      <c r="D681" s="3" t="s">
        <v>13</v>
      </c>
      <c r="E681" s="3" t="s">
        <v>14</v>
      </c>
      <c r="F681" s="3">
        <v>110.0</v>
      </c>
      <c r="G681" s="4" t="s">
        <v>19</v>
      </c>
      <c r="H681" s="3">
        <v>1.5661687250234764</v>
      </c>
      <c r="K681" s="9" t="str">
        <f>IFERROR(__xludf.DUMMYFUNCTION("""COMPUTED_VALUE"""),"TT Off South")</f>
        <v>TT Off South</v>
      </c>
      <c r="L681" s="9" t="str">
        <f>IFERROR(__xludf.DUMMYFUNCTION("""COMPUTED_VALUE"""),"Joyi")</f>
        <v>Joyi</v>
      </c>
      <c r="M681" s="9" t="str">
        <f>IFERROR(__xludf.DUMMYFUNCTION("""COMPUTED_VALUE"""),"Star")</f>
        <v>Star</v>
      </c>
      <c r="N681" s="9" t="str">
        <f>IFERROR(__xludf.DUMMYFUNCTION("""COMPUTED_VALUE"""),"Sweetened")</f>
        <v>Sweetened</v>
      </c>
      <c r="O681" s="9" t="str">
        <f>IFERROR(__xludf.DUMMYFUNCTION("""COMPUTED_VALUE"""),"Carton")</f>
        <v>Carton</v>
      </c>
      <c r="P681" s="9">
        <f>IFERROR(__xludf.DUMMYFUNCTION("""COMPUTED_VALUE"""),110.0)</f>
        <v>110</v>
      </c>
      <c r="Q681" s="9" t="str">
        <f>IFERROR(__xludf.DUMMYFUNCTION("""COMPUTED_VALUE"""),"Q1'23")</f>
        <v>Q1'23</v>
      </c>
      <c r="R681" s="9">
        <f>IFERROR(__xludf.DUMMYFUNCTION("""COMPUTED_VALUE"""),2.085267057245146)</f>
        <v>2.085267057</v>
      </c>
    </row>
    <row r="682" ht="14.25" customHeight="1">
      <c r="A682" s="3" t="s">
        <v>25</v>
      </c>
      <c r="B682" s="6" t="s">
        <v>38</v>
      </c>
      <c r="C682" s="3" t="s">
        <v>40</v>
      </c>
      <c r="D682" s="3" t="s">
        <v>13</v>
      </c>
      <c r="E682" s="3" t="s">
        <v>14</v>
      </c>
      <c r="F682" s="3">
        <v>110.0</v>
      </c>
      <c r="G682" s="4" t="s">
        <v>20</v>
      </c>
      <c r="H682" s="3">
        <v>1.1196526356561267</v>
      </c>
      <c r="K682" s="9" t="str">
        <f>IFERROR(__xludf.DUMMYFUNCTION("""COMPUTED_VALUE"""),"TT Off South")</f>
        <v>TT Off South</v>
      </c>
      <c r="L682" s="9" t="str">
        <f>IFERROR(__xludf.DUMMYFUNCTION("""COMPUTED_VALUE"""),"Joyi")</f>
        <v>Joyi</v>
      </c>
      <c r="M682" s="9" t="str">
        <f>IFERROR(__xludf.DUMMYFUNCTION("""COMPUTED_VALUE"""),"Star")</f>
        <v>Star</v>
      </c>
      <c r="N682" s="9" t="str">
        <f>IFERROR(__xludf.DUMMYFUNCTION("""COMPUTED_VALUE"""),"Sweetened")</f>
        <v>Sweetened</v>
      </c>
      <c r="O682" s="9" t="str">
        <f>IFERROR(__xludf.DUMMYFUNCTION("""COMPUTED_VALUE"""),"Carton")</f>
        <v>Carton</v>
      </c>
      <c r="P682" s="9">
        <f>IFERROR(__xludf.DUMMYFUNCTION("""COMPUTED_VALUE"""),110.0)</f>
        <v>110</v>
      </c>
      <c r="Q682" s="9" t="str">
        <f>IFERROR(__xludf.DUMMYFUNCTION("""COMPUTED_VALUE"""),"Q2'23")</f>
        <v>Q2'23</v>
      </c>
      <c r="R682" s="9">
        <f>IFERROR(__xludf.DUMMYFUNCTION("""COMPUTED_VALUE"""),1.8926182224733357)</f>
        <v>1.892618222</v>
      </c>
    </row>
    <row r="683" ht="14.25" customHeight="1">
      <c r="A683" s="3" t="s">
        <v>25</v>
      </c>
      <c r="B683" s="6" t="s">
        <v>38</v>
      </c>
      <c r="C683" s="3" t="s">
        <v>40</v>
      </c>
      <c r="D683" s="3" t="s">
        <v>13</v>
      </c>
      <c r="E683" s="3" t="s">
        <v>14</v>
      </c>
      <c r="F683" s="3">
        <v>110.0</v>
      </c>
      <c r="G683" s="4" t="s">
        <v>21</v>
      </c>
      <c r="H683" s="3">
        <v>1.1377945415251354</v>
      </c>
      <c r="K683" s="9" t="str">
        <f>IFERROR(__xludf.DUMMYFUNCTION("""COMPUTED_VALUE"""),"TT Off South")</f>
        <v>TT Off South</v>
      </c>
      <c r="L683" s="9" t="str">
        <f>IFERROR(__xludf.DUMMYFUNCTION("""COMPUTED_VALUE"""),"Joyi")</f>
        <v>Joyi</v>
      </c>
      <c r="M683" s="9" t="str">
        <f>IFERROR(__xludf.DUMMYFUNCTION("""COMPUTED_VALUE"""),"Star")</f>
        <v>Star</v>
      </c>
      <c r="N683" s="9" t="str">
        <f>IFERROR(__xludf.DUMMYFUNCTION("""COMPUTED_VALUE"""),"Sweetened")</f>
        <v>Sweetened</v>
      </c>
      <c r="O683" s="9" t="str">
        <f>IFERROR(__xludf.DUMMYFUNCTION("""COMPUTED_VALUE"""),"Carton")</f>
        <v>Carton</v>
      </c>
      <c r="P683" s="9">
        <f>IFERROR(__xludf.DUMMYFUNCTION("""COMPUTED_VALUE"""),110.0)</f>
        <v>110</v>
      </c>
      <c r="Q683" s="9" t="str">
        <f>IFERROR(__xludf.DUMMYFUNCTION("""COMPUTED_VALUE"""),"Q3'23")</f>
        <v>Q3'23</v>
      </c>
      <c r="R683" s="9">
        <f>IFERROR(__xludf.DUMMYFUNCTION("""COMPUTED_VALUE"""),1.7681714826981394)</f>
        <v>1.768171483</v>
      </c>
    </row>
    <row r="684" ht="14.25" customHeight="1">
      <c r="A684" s="3" t="s">
        <v>25</v>
      </c>
      <c r="B684" s="6" t="s">
        <v>38</v>
      </c>
      <c r="C684" s="3" t="s">
        <v>40</v>
      </c>
      <c r="D684" s="3" t="s">
        <v>13</v>
      </c>
      <c r="E684" s="3" t="s">
        <v>14</v>
      </c>
      <c r="F684" s="3">
        <v>110.0</v>
      </c>
      <c r="G684" s="4" t="s">
        <v>22</v>
      </c>
      <c r="H684" s="3">
        <v>0.9752815416107021</v>
      </c>
      <c r="K684" s="9" t="str">
        <f>IFERROR(__xludf.DUMMYFUNCTION("""COMPUTED_VALUE"""),"TT Off South")</f>
        <v>TT Off South</v>
      </c>
      <c r="L684" s="9" t="str">
        <f>IFERROR(__xludf.DUMMYFUNCTION("""COMPUTED_VALUE"""),"Joyi")</f>
        <v>Joyi</v>
      </c>
      <c r="M684" s="9" t="str">
        <f>IFERROR(__xludf.DUMMYFUNCTION("""COMPUTED_VALUE"""),"Star")</f>
        <v>Star</v>
      </c>
      <c r="N684" s="9" t="str">
        <f>IFERROR(__xludf.DUMMYFUNCTION("""COMPUTED_VALUE"""),"Sweetened")</f>
        <v>Sweetened</v>
      </c>
      <c r="O684" s="9" t="str">
        <f>IFERROR(__xludf.DUMMYFUNCTION("""COMPUTED_VALUE"""),"Carton")</f>
        <v>Carton</v>
      </c>
      <c r="P684" s="9">
        <f>IFERROR(__xludf.DUMMYFUNCTION("""COMPUTED_VALUE"""),110.0)</f>
        <v>110</v>
      </c>
      <c r="Q684" s="9" t="str">
        <f>IFERROR(__xludf.DUMMYFUNCTION("""COMPUTED_VALUE"""),"Q4'23")</f>
        <v>Q4'23</v>
      </c>
      <c r="R684" s="9">
        <f>IFERROR(__xludf.DUMMYFUNCTION("""COMPUTED_VALUE"""),1.6634878978089291)</f>
        <v>1.663487898</v>
      </c>
    </row>
    <row r="685" ht="14.25" customHeight="1">
      <c r="A685" s="3" t="s">
        <v>25</v>
      </c>
      <c r="B685" s="6" t="s">
        <v>38</v>
      </c>
      <c r="C685" s="3" t="s">
        <v>40</v>
      </c>
      <c r="D685" s="3" t="s">
        <v>13</v>
      </c>
      <c r="E685" s="3" t="s">
        <v>14</v>
      </c>
      <c r="F685" s="3">
        <v>180.0</v>
      </c>
      <c r="G685" s="4" t="s">
        <v>15</v>
      </c>
      <c r="H685" s="3">
        <v>3.8410932618764257</v>
      </c>
      <c r="K685" s="9" t="str">
        <f>IFERROR(__xludf.DUMMYFUNCTION("""COMPUTED_VALUE"""),"TT Off South")</f>
        <v>TT Off South</v>
      </c>
      <c r="L685" s="9" t="str">
        <f>IFERROR(__xludf.DUMMYFUNCTION("""COMPUTED_VALUE"""),"Joyi")</f>
        <v>Joyi</v>
      </c>
      <c r="M685" s="9" t="str">
        <f>IFERROR(__xludf.DUMMYFUNCTION("""COMPUTED_VALUE"""),"Star")</f>
        <v>Star</v>
      </c>
      <c r="N685" s="9" t="str">
        <f>IFERROR(__xludf.DUMMYFUNCTION("""COMPUTED_VALUE"""),"Sweetened")</f>
        <v>Sweetened</v>
      </c>
      <c r="O685" s="9" t="str">
        <f>IFERROR(__xludf.DUMMYFUNCTION("""COMPUTED_VALUE"""),"Carton")</f>
        <v>Carton</v>
      </c>
      <c r="P685" s="9">
        <f>IFERROR(__xludf.DUMMYFUNCTION("""COMPUTED_VALUE"""),180.0)</f>
        <v>180</v>
      </c>
      <c r="Q685" s="9" t="str">
        <f>IFERROR(__xludf.DUMMYFUNCTION("""COMPUTED_VALUE"""),"Q1'22")</f>
        <v>Q1'22</v>
      </c>
      <c r="R685" s="9">
        <f>IFERROR(__xludf.DUMMYFUNCTION("""COMPUTED_VALUE"""),7.132309404458903)</f>
        <v>7.132309404</v>
      </c>
    </row>
    <row r="686" ht="14.25" customHeight="1">
      <c r="A686" s="3" t="s">
        <v>25</v>
      </c>
      <c r="B686" s="6" t="s">
        <v>38</v>
      </c>
      <c r="C686" s="3" t="s">
        <v>40</v>
      </c>
      <c r="D686" s="3" t="s">
        <v>13</v>
      </c>
      <c r="E686" s="3" t="s">
        <v>14</v>
      </c>
      <c r="F686" s="3">
        <v>180.0</v>
      </c>
      <c r="G686" s="4" t="s">
        <v>16</v>
      </c>
      <c r="H686" s="3">
        <v>4.234605239472914</v>
      </c>
      <c r="K686" s="9" t="str">
        <f>IFERROR(__xludf.DUMMYFUNCTION("""COMPUTED_VALUE"""),"TT Off South")</f>
        <v>TT Off South</v>
      </c>
      <c r="L686" s="9" t="str">
        <f>IFERROR(__xludf.DUMMYFUNCTION("""COMPUTED_VALUE"""),"Joyi")</f>
        <v>Joyi</v>
      </c>
      <c r="M686" s="9" t="str">
        <f>IFERROR(__xludf.DUMMYFUNCTION("""COMPUTED_VALUE"""),"Star")</f>
        <v>Star</v>
      </c>
      <c r="N686" s="9" t="str">
        <f>IFERROR(__xludf.DUMMYFUNCTION("""COMPUTED_VALUE"""),"Sweetened")</f>
        <v>Sweetened</v>
      </c>
      <c r="O686" s="9" t="str">
        <f>IFERROR(__xludf.DUMMYFUNCTION("""COMPUTED_VALUE"""),"Carton")</f>
        <v>Carton</v>
      </c>
      <c r="P686" s="9">
        <f>IFERROR(__xludf.DUMMYFUNCTION("""COMPUTED_VALUE"""),180.0)</f>
        <v>180</v>
      </c>
      <c r="Q686" s="9" t="str">
        <f>IFERROR(__xludf.DUMMYFUNCTION("""COMPUTED_VALUE"""),"Q2'22")</f>
        <v>Q2'22</v>
      </c>
      <c r="R686" s="9">
        <f>IFERROR(__xludf.DUMMYFUNCTION("""COMPUTED_VALUE"""),6.617343027284246)</f>
        <v>6.617343027</v>
      </c>
    </row>
    <row r="687" ht="14.25" customHeight="1">
      <c r="A687" s="3" t="s">
        <v>25</v>
      </c>
      <c r="B687" s="6" t="s">
        <v>38</v>
      </c>
      <c r="C687" s="3" t="s">
        <v>40</v>
      </c>
      <c r="D687" s="3" t="s">
        <v>13</v>
      </c>
      <c r="E687" s="3" t="s">
        <v>14</v>
      </c>
      <c r="F687" s="3">
        <v>180.0</v>
      </c>
      <c r="G687" s="4" t="s">
        <v>17</v>
      </c>
      <c r="H687" s="3">
        <v>4.300392213234873</v>
      </c>
      <c r="K687" s="9" t="str">
        <f>IFERROR(__xludf.DUMMYFUNCTION("""COMPUTED_VALUE"""),"TT Off South")</f>
        <v>TT Off South</v>
      </c>
      <c r="L687" s="9" t="str">
        <f>IFERROR(__xludf.DUMMYFUNCTION("""COMPUTED_VALUE"""),"Joyi")</f>
        <v>Joyi</v>
      </c>
      <c r="M687" s="9" t="str">
        <f>IFERROR(__xludf.DUMMYFUNCTION("""COMPUTED_VALUE"""),"Star")</f>
        <v>Star</v>
      </c>
      <c r="N687" s="9" t="str">
        <f>IFERROR(__xludf.DUMMYFUNCTION("""COMPUTED_VALUE"""),"Sweetened")</f>
        <v>Sweetened</v>
      </c>
      <c r="O687" s="9" t="str">
        <f>IFERROR(__xludf.DUMMYFUNCTION("""COMPUTED_VALUE"""),"Carton")</f>
        <v>Carton</v>
      </c>
      <c r="P687" s="9">
        <f>IFERROR(__xludf.DUMMYFUNCTION("""COMPUTED_VALUE"""),180.0)</f>
        <v>180</v>
      </c>
      <c r="Q687" s="9" t="str">
        <f>IFERROR(__xludf.DUMMYFUNCTION("""COMPUTED_VALUE"""),"Q3'22")</f>
        <v>Q3'22</v>
      </c>
      <c r="R687" s="9">
        <f>IFERROR(__xludf.DUMMYFUNCTION("""COMPUTED_VALUE"""),6.631630602907227)</f>
        <v>6.631630603</v>
      </c>
    </row>
    <row r="688" ht="14.25" customHeight="1">
      <c r="A688" s="3" t="s">
        <v>25</v>
      </c>
      <c r="B688" s="6" t="s">
        <v>38</v>
      </c>
      <c r="C688" s="3" t="s">
        <v>40</v>
      </c>
      <c r="D688" s="3" t="s">
        <v>13</v>
      </c>
      <c r="E688" s="3" t="s">
        <v>14</v>
      </c>
      <c r="F688" s="3">
        <v>180.0</v>
      </c>
      <c r="G688" s="4" t="s">
        <v>18</v>
      </c>
      <c r="H688" s="3">
        <v>3.490897985713105</v>
      </c>
      <c r="K688" s="9" t="str">
        <f>IFERROR(__xludf.DUMMYFUNCTION("""COMPUTED_VALUE"""),"TT Off South")</f>
        <v>TT Off South</v>
      </c>
      <c r="L688" s="9" t="str">
        <f>IFERROR(__xludf.DUMMYFUNCTION("""COMPUTED_VALUE"""),"Joyi")</f>
        <v>Joyi</v>
      </c>
      <c r="M688" s="9" t="str">
        <f>IFERROR(__xludf.DUMMYFUNCTION("""COMPUTED_VALUE"""),"Star")</f>
        <v>Star</v>
      </c>
      <c r="N688" s="9" t="str">
        <f>IFERROR(__xludf.DUMMYFUNCTION("""COMPUTED_VALUE"""),"Sweetened")</f>
        <v>Sweetened</v>
      </c>
      <c r="O688" s="9" t="str">
        <f>IFERROR(__xludf.DUMMYFUNCTION("""COMPUTED_VALUE"""),"Carton")</f>
        <v>Carton</v>
      </c>
      <c r="P688" s="9">
        <f>IFERROR(__xludf.DUMMYFUNCTION("""COMPUTED_VALUE"""),180.0)</f>
        <v>180</v>
      </c>
      <c r="Q688" s="9" t="str">
        <f>IFERROR(__xludf.DUMMYFUNCTION("""COMPUTED_VALUE"""),"Q4'22")</f>
        <v>Q4'22</v>
      </c>
      <c r="R688" s="9">
        <f>IFERROR(__xludf.DUMMYFUNCTION("""COMPUTED_VALUE"""),6.250552168530726)</f>
        <v>6.250552169</v>
      </c>
    </row>
    <row r="689" ht="14.25" customHeight="1">
      <c r="A689" s="3" t="s">
        <v>25</v>
      </c>
      <c r="B689" s="6" t="s">
        <v>38</v>
      </c>
      <c r="C689" s="3" t="s">
        <v>40</v>
      </c>
      <c r="D689" s="3" t="s">
        <v>13</v>
      </c>
      <c r="E689" s="3" t="s">
        <v>14</v>
      </c>
      <c r="F689" s="3">
        <v>180.0</v>
      </c>
      <c r="G689" s="4" t="s">
        <v>19</v>
      </c>
      <c r="H689" s="3">
        <v>3.1893661471856896</v>
      </c>
      <c r="K689" s="9" t="str">
        <f>IFERROR(__xludf.DUMMYFUNCTION("""COMPUTED_VALUE"""),"TT Off South")</f>
        <v>TT Off South</v>
      </c>
      <c r="L689" s="9" t="str">
        <f>IFERROR(__xludf.DUMMYFUNCTION("""COMPUTED_VALUE"""),"Joyi")</f>
        <v>Joyi</v>
      </c>
      <c r="M689" s="9" t="str">
        <f>IFERROR(__xludf.DUMMYFUNCTION("""COMPUTED_VALUE"""),"Star")</f>
        <v>Star</v>
      </c>
      <c r="N689" s="9" t="str">
        <f>IFERROR(__xludf.DUMMYFUNCTION("""COMPUTED_VALUE"""),"Sweetened")</f>
        <v>Sweetened</v>
      </c>
      <c r="O689" s="9" t="str">
        <f>IFERROR(__xludf.DUMMYFUNCTION("""COMPUTED_VALUE"""),"Carton")</f>
        <v>Carton</v>
      </c>
      <c r="P689" s="9">
        <f>IFERROR(__xludf.DUMMYFUNCTION("""COMPUTED_VALUE"""),180.0)</f>
        <v>180</v>
      </c>
      <c r="Q689" s="9" t="str">
        <f>IFERROR(__xludf.DUMMYFUNCTION("""COMPUTED_VALUE"""),"Q1'23")</f>
        <v>Q1'23</v>
      </c>
      <c r="R689" s="9">
        <f>IFERROR(__xludf.DUMMYFUNCTION("""COMPUTED_VALUE"""),6.108897390945851)</f>
        <v>6.108897391</v>
      </c>
    </row>
    <row r="690" ht="14.25" customHeight="1">
      <c r="A690" s="3" t="s">
        <v>25</v>
      </c>
      <c r="B690" s="6" t="s">
        <v>38</v>
      </c>
      <c r="C690" s="3" t="s">
        <v>40</v>
      </c>
      <c r="D690" s="3" t="s">
        <v>13</v>
      </c>
      <c r="E690" s="3" t="s">
        <v>14</v>
      </c>
      <c r="F690" s="3">
        <v>180.0</v>
      </c>
      <c r="G690" s="4" t="s">
        <v>20</v>
      </c>
      <c r="H690" s="3">
        <v>2.379714296261201</v>
      </c>
      <c r="K690" s="9" t="str">
        <f>IFERROR(__xludf.DUMMYFUNCTION("""COMPUTED_VALUE"""),"TT Off South")</f>
        <v>TT Off South</v>
      </c>
      <c r="L690" s="9" t="str">
        <f>IFERROR(__xludf.DUMMYFUNCTION("""COMPUTED_VALUE"""),"Joyi")</f>
        <v>Joyi</v>
      </c>
      <c r="M690" s="9" t="str">
        <f>IFERROR(__xludf.DUMMYFUNCTION("""COMPUTED_VALUE"""),"Star")</f>
        <v>Star</v>
      </c>
      <c r="N690" s="9" t="str">
        <f>IFERROR(__xludf.DUMMYFUNCTION("""COMPUTED_VALUE"""),"Sweetened")</f>
        <v>Sweetened</v>
      </c>
      <c r="O690" s="9" t="str">
        <f>IFERROR(__xludf.DUMMYFUNCTION("""COMPUTED_VALUE"""),"Carton")</f>
        <v>Carton</v>
      </c>
      <c r="P690" s="9">
        <f>IFERROR(__xludf.DUMMYFUNCTION("""COMPUTED_VALUE"""),180.0)</f>
        <v>180</v>
      </c>
      <c r="Q690" s="9" t="str">
        <f>IFERROR(__xludf.DUMMYFUNCTION("""COMPUTED_VALUE"""),"Q2'23")</f>
        <v>Q2'23</v>
      </c>
      <c r="R690" s="9">
        <f>IFERROR(__xludf.DUMMYFUNCTION("""COMPUTED_VALUE"""),5.941810649458451)</f>
        <v>5.941810649</v>
      </c>
    </row>
    <row r="691" ht="14.25" customHeight="1">
      <c r="A691" s="3" t="s">
        <v>25</v>
      </c>
      <c r="B691" s="6" t="s">
        <v>38</v>
      </c>
      <c r="C691" s="3" t="s">
        <v>40</v>
      </c>
      <c r="D691" s="3" t="s">
        <v>13</v>
      </c>
      <c r="E691" s="3" t="s">
        <v>14</v>
      </c>
      <c r="F691" s="3">
        <v>180.0</v>
      </c>
      <c r="G691" s="4" t="s">
        <v>21</v>
      </c>
      <c r="H691" s="3">
        <v>2.333032251077174</v>
      </c>
      <c r="K691" s="9" t="str">
        <f>IFERROR(__xludf.DUMMYFUNCTION("""COMPUTED_VALUE"""),"TT Off South")</f>
        <v>TT Off South</v>
      </c>
      <c r="L691" s="9" t="str">
        <f>IFERROR(__xludf.DUMMYFUNCTION("""COMPUTED_VALUE"""),"Joyi")</f>
        <v>Joyi</v>
      </c>
      <c r="M691" s="9" t="str">
        <f>IFERROR(__xludf.DUMMYFUNCTION("""COMPUTED_VALUE"""),"Star")</f>
        <v>Star</v>
      </c>
      <c r="N691" s="9" t="str">
        <f>IFERROR(__xludf.DUMMYFUNCTION("""COMPUTED_VALUE"""),"Sweetened")</f>
        <v>Sweetened</v>
      </c>
      <c r="O691" s="9" t="str">
        <f>IFERROR(__xludf.DUMMYFUNCTION("""COMPUTED_VALUE"""),"Carton")</f>
        <v>Carton</v>
      </c>
      <c r="P691" s="9">
        <f>IFERROR(__xludf.DUMMYFUNCTION("""COMPUTED_VALUE"""),180.0)</f>
        <v>180</v>
      </c>
      <c r="Q691" s="9" t="str">
        <f>IFERROR(__xludf.DUMMYFUNCTION("""COMPUTED_VALUE"""),"Q3'23")</f>
        <v>Q3'23</v>
      </c>
      <c r="R691" s="9">
        <f>IFERROR(__xludf.DUMMYFUNCTION("""COMPUTED_VALUE"""),5.528906583431166)</f>
        <v>5.528906583</v>
      </c>
    </row>
    <row r="692" ht="14.25" customHeight="1">
      <c r="A692" s="3" t="s">
        <v>25</v>
      </c>
      <c r="B692" s="6" t="s">
        <v>38</v>
      </c>
      <c r="C692" s="3" t="s">
        <v>40</v>
      </c>
      <c r="D692" s="3" t="s">
        <v>13</v>
      </c>
      <c r="E692" s="3" t="s">
        <v>14</v>
      </c>
      <c r="F692" s="3">
        <v>180.0</v>
      </c>
      <c r="G692" s="4" t="s">
        <v>22</v>
      </c>
      <c r="H692" s="3">
        <v>2.4539635689020987</v>
      </c>
      <c r="K692" s="9" t="str">
        <f>IFERROR(__xludf.DUMMYFUNCTION("""COMPUTED_VALUE"""),"TT Off South")</f>
        <v>TT Off South</v>
      </c>
      <c r="L692" s="9" t="str">
        <f>IFERROR(__xludf.DUMMYFUNCTION("""COMPUTED_VALUE"""),"Joyi")</f>
        <v>Joyi</v>
      </c>
      <c r="M692" s="9" t="str">
        <f>IFERROR(__xludf.DUMMYFUNCTION("""COMPUTED_VALUE"""),"Star")</f>
        <v>Star</v>
      </c>
      <c r="N692" s="9" t="str">
        <f>IFERROR(__xludf.DUMMYFUNCTION("""COMPUTED_VALUE"""),"Sweetened")</f>
        <v>Sweetened</v>
      </c>
      <c r="O692" s="9" t="str">
        <f>IFERROR(__xludf.DUMMYFUNCTION("""COMPUTED_VALUE"""),"Carton")</f>
        <v>Carton</v>
      </c>
      <c r="P692" s="9">
        <f>IFERROR(__xludf.DUMMYFUNCTION("""COMPUTED_VALUE"""),180.0)</f>
        <v>180</v>
      </c>
      <c r="Q692" s="9" t="str">
        <f>IFERROR(__xludf.DUMMYFUNCTION("""COMPUTED_VALUE"""),"Q4'23")</f>
        <v>Q4'23</v>
      </c>
      <c r="R692" s="9">
        <f>IFERROR(__xludf.DUMMYFUNCTION("""COMPUTED_VALUE"""),5.412499353829228)</f>
        <v>5.412499354</v>
      </c>
    </row>
    <row r="693" ht="14.25" customHeight="1">
      <c r="A693" s="3" t="s">
        <v>25</v>
      </c>
      <c r="B693" s="6" t="s">
        <v>38</v>
      </c>
      <c r="C693" s="3" t="s">
        <v>40</v>
      </c>
      <c r="D693" s="3" t="s">
        <v>13</v>
      </c>
      <c r="E693" s="3" t="s">
        <v>29</v>
      </c>
      <c r="F693" s="3">
        <v>220.0</v>
      </c>
      <c r="G693" s="4" t="s">
        <v>15</v>
      </c>
      <c r="H693" s="3">
        <v>0.6720854176925954</v>
      </c>
      <c r="K693" s="9" t="str">
        <f>IFERROR(__xludf.DUMMYFUNCTION("""COMPUTED_VALUE"""),"TT Off South")</f>
        <v>TT Off South</v>
      </c>
      <c r="L693" s="9" t="str">
        <f>IFERROR(__xludf.DUMMYFUNCTION("""COMPUTED_VALUE"""),"Joyi")</f>
        <v>Joyi</v>
      </c>
      <c r="M693" s="9" t="str">
        <f>IFERROR(__xludf.DUMMYFUNCTION("""COMPUTED_VALUE"""),"Star")</f>
        <v>Star</v>
      </c>
      <c r="N693" s="9" t="str">
        <f>IFERROR(__xludf.DUMMYFUNCTION("""COMPUTED_VALUE"""),"Sweetened")</f>
        <v>Sweetened</v>
      </c>
      <c r="O693" s="9" t="str">
        <f>IFERROR(__xludf.DUMMYFUNCTION("""COMPUTED_VALUE"""),"TFA")</f>
        <v>TFA</v>
      </c>
      <c r="P693" s="9">
        <f>IFERROR(__xludf.DUMMYFUNCTION("""COMPUTED_VALUE"""),220.0)</f>
        <v>220</v>
      </c>
      <c r="Q693" s="9" t="str">
        <f>IFERROR(__xludf.DUMMYFUNCTION("""COMPUTED_VALUE"""),"Q1'22")</f>
        <v>Q1'22</v>
      </c>
      <c r="R693" s="9">
        <f>IFERROR(__xludf.DUMMYFUNCTION("""COMPUTED_VALUE"""),2.2404719680910965)</f>
        <v>2.240471968</v>
      </c>
    </row>
    <row r="694" ht="14.25" customHeight="1">
      <c r="A694" s="3" t="s">
        <v>25</v>
      </c>
      <c r="B694" s="6" t="s">
        <v>38</v>
      </c>
      <c r="C694" s="3" t="s">
        <v>40</v>
      </c>
      <c r="D694" s="3" t="s">
        <v>13</v>
      </c>
      <c r="E694" s="3" t="s">
        <v>29</v>
      </c>
      <c r="F694" s="3">
        <v>220.0</v>
      </c>
      <c r="G694" s="4" t="s">
        <v>16</v>
      </c>
      <c r="H694" s="3">
        <v>0.892451418786093</v>
      </c>
      <c r="K694" s="9" t="str">
        <f>IFERROR(__xludf.DUMMYFUNCTION("""COMPUTED_VALUE"""),"TT Off South")</f>
        <v>TT Off South</v>
      </c>
      <c r="L694" s="9" t="str">
        <f>IFERROR(__xludf.DUMMYFUNCTION("""COMPUTED_VALUE"""),"Joyi")</f>
        <v>Joyi</v>
      </c>
      <c r="M694" s="9" t="str">
        <f>IFERROR(__xludf.DUMMYFUNCTION("""COMPUTED_VALUE"""),"Star")</f>
        <v>Star</v>
      </c>
      <c r="N694" s="9" t="str">
        <f>IFERROR(__xludf.DUMMYFUNCTION("""COMPUTED_VALUE"""),"Sweetened")</f>
        <v>Sweetened</v>
      </c>
      <c r="O694" s="9" t="str">
        <f>IFERROR(__xludf.DUMMYFUNCTION("""COMPUTED_VALUE"""),"TFA")</f>
        <v>TFA</v>
      </c>
      <c r="P694" s="9">
        <f>IFERROR(__xludf.DUMMYFUNCTION("""COMPUTED_VALUE"""),220.0)</f>
        <v>220</v>
      </c>
      <c r="Q694" s="9" t="str">
        <f>IFERROR(__xludf.DUMMYFUNCTION("""COMPUTED_VALUE"""),"Q2'22")</f>
        <v>Q2'22</v>
      </c>
      <c r="R694" s="9">
        <f>IFERROR(__xludf.DUMMYFUNCTION("""COMPUTED_VALUE"""),3.0184198689472312)</f>
        <v>3.018419869</v>
      </c>
    </row>
    <row r="695" ht="14.25" customHeight="1">
      <c r="A695" s="3" t="s">
        <v>25</v>
      </c>
      <c r="B695" s="6" t="s">
        <v>38</v>
      </c>
      <c r="C695" s="3" t="s">
        <v>40</v>
      </c>
      <c r="D695" s="3" t="s">
        <v>13</v>
      </c>
      <c r="E695" s="3" t="s">
        <v>29</v>
      </c>
      <c r="F695" s="3">
        <v>220.0</v>
      </c>
      <c r="G695" s="4" t="s">
        <v>17</v>
      </c>
      <c r="H695" s="3">
        <v>0.7821196168706716</v>
      </c>
      <c r="K695" s="9" t="str">
        <f>IFERROR(__xludf.DUMMYFUNCTION("""COMPUTED_VALUE"""),"TT Off South")</f>
        <v>TT Off South</v>
      </c>
      <c r="L695" s="9" t="str">
        <f>IFERROR(__xludf.DUMMYFUNCTION("""COMPUTED_VALUE"""),"Joyi")</f>
        <v>Joyi</v>
      </c>
      <c r="M695" s="9" t="str">
        <f>IFERROR(__xludf.DUMMYFUNCTION("""COMPUTED_VALUE"""),"Star")</f>
        <v>Star</v>
      </c>
      <c r="N695" s="9" t="str">
        <f>IFERROR(__xludf.DUMMYFUNCTION("""COMPUTED_VALUE"""),"Sweetened")</f>
        <v>Sweetened</v>
      </c>
      <c r="O695" s="9" t="str">
        <f>IFERROR(__xludf.DUMMYFUNCTION("""COMPUTED_VALUE"""),"TFA")</f>
        <v>TFA</v>
      </c>
      <c r="P695" s="9">
        <f>IFERROR(__xludf.DUMMYFUNCTION("""COMPUTED_VALUE"""),220.0)</f>
        <v>220</v>
      </c>
      <c r="Q695" s="9" t="str">
        <f>IFERROR(__xludf.DUMMYFUNCTION("""COMPUTED_VALUE"""),"Q3'22")</f>
        <v>Q3'22</v>
      </c>
      <c r="R695" s="9">
        <f>IFERROR(__xludf.DUMMYFUNCTION("""COMPUTED_VALUE"""),2.7201988900348444)</f>
        <v>2.72019889</v>
      </c>
    </row>
    <row r="696" ht="14.25" customHeight="1">
      <c r="A696" s="3" t="s">
        <v>25</v>
      </c>
      <c r="B696" s="6" t="s">
        <v>38</v>
      </c>
      <c r="C696" s="3" t="s">
        <v>40</v>
      </c>
      <c r="D696" s="3" t="s">
        <v>13</v>
      </c>
      <c r="E696" s="3" t="s">
        <v>29</v>
      </c>
      <c r="F696" s="3">
        <v>220.0</v>
      </c>
      <c r="G696" s="4" t="s">
        <v>18</v>
      </c>
      <c r="H696" s="3">
        <v>0.8602115430896945</v>
      </c>
      <c r="K696" s="9" t="str">
        <f>IFERROR(__xludf.DUMMYFUNCTION("""COMPUTED_VALUE"""),"TT Off South")</f>
        <v>TT Off South</v>
      </c>
      <c r="L696" s="9" t="str">
        <f>IFERROR(__xludf.DUMMYFUNCTION("""COMPUTED_VALUE"""),"Joyi")</f>
        <v>Joyi</v>
      </c>
      <c r="M696" s="9" t="str">
        <f>IFERROR(__xludf.DUMMYFUNCTION("""COMPUTED_VALUE"""),"Star")</f>
        <v>Star</v>
      </c>
      <c r="N696" s="9" t="str">
        <f>IFERROR(__xludf.DUMMYFUNCTION("""COMPUTED_VALUE"""),"Sweetened")</f>
        <v>Sweetened</v>
      </c>
      <c r="O696" s="9" t="str">
        <f>IFERROR(__xludf.DUMMYFUNCTION("""COMPUTED_VALUE"""),"TFA")</f>
        <v>TFA</v>
      </c>
      <c r="P696" s="9">
        <f>IFERROR(__xludf.DUMMYFUNCTION("""COMPUTED_VALUE"""),220.0)</f>
        <v>220</v>
      </c>
      <c r="Q696" s="9" t="str">
        <f>IFERROR(__xludf.DUMMYFUNCTION("""COMPUTED_VALUE"""),"Q4'22")</f>
        <v>Q4'22</v>
      </c>
      <c r="R696" s="9">
        <f>IFERROR(__xludf.DUMMYFUNCTION("""COMPUTED_VALUE"""),2.9405670113768823)</f>
        <v>2.940567011</v>
      </c>
    </row>
    <row r="697" ht="14.25" customHeight="1">
      <c r="A697" s="3" t="s">
        <v>25</v>
      </c>
      <c r="B697" s="6" t="s">
        <v>38</v>
      </c>
      <c r="C697" s="3" t="s">
        <v>40</v>
      </c>
      <c r="D697" s="3" t="s">
        <v>13</v>
      </c>
      <c r="E697" s="3" t="s">
        <v>29</v>
      </c>
      <c r="F697" s="3">
        <v>220.0</v>
      </c>
      <c r="G697" s="4" t="s">
        <v>19</v>
      </c>
      <c r="H697" s="3">
        <v>0.9435860742996022</v>
      </c>
      <c r="K697" s="9" t="str">
        <f>IFERROR(__xludf.DUMMYFUNCTION("""COMPUTED_VALUE"""),"TT Off South")</f>
        <v>TT Off South</v>
      </c>
      <c r="L697" s="9" t="str">
        <f>IFERROR(__xludf.DUMMYFUNCTION("""COMPUTED_VALUE"""),"Joyi")</f>
        <v>Joyi</v>
      </c>
      <c r="M697" s="9" t="str">
        <f>IFERROR(__xludf.DUMMYFUNCTION("""COMPUTED_VALUE"""),"Star")</f>
        <v>Star</v>
      </c>
      <c r="N697" s="9" t="str">
        <f>IFERROR(__xludf.DUMMYFUNCTION("""COMPUTED_VALUE"""),"Sweetened")</f>
        <v>Sweetened</v>
      </c>
      <c r="O697" s="9" t="str">
        <f>IFERROR(__xludf.DUMMYFUNCTION("""COMPUTED_VALUE"""),"TFA")</f>
        <v>TFA</v>
      </c>
      <c r="P697" s="9">
        <f>IFERROR(__xludf.DUMMYFUNCTION("""COMPUTED_VALUE"""),220.0)</f>
        <v>220</v>
      </c>
      <c r="Q697" s="9" t="str">
        <f>IFERROR(__xludf.DUMMYFUNCTION("""COMPUTED_VALUE"""),"Q1'23")</f>
        <v>Q1'23</v>
      </c>
      <c r="R697" s="9">
        <f>IFERROR(__xludf.DUMMYFUNCTION("""COMPUTED_VALUE"""),3.522839984629105)</f>
        <v>3.522839985</v>
      </c>
    </row>
    <row r="698" ht="14.25" customHeight="1">
      <c r="A698" s="3" t="s">
        <v>25</v>
      </c>
      <c r="B698" s="6" t="s">
        <v>38</v>
      </c>
      <c r="C698" s="3" t="s">
        <v>40</v>
      </c>
      <c r="D698" s="3" t="s">
        <v>13</v>
      </c>
      <c r="E698" s="3" t="s">
        <v>29</v>
      </c>
      <c r="F698" s="3">
        <v>220.0</v>
      </c>
      <c r="G698" s="4" t="s">
        <v>20</v>
      </c>
      <c r="H698" s="3">
        <v>0.9557948615995095</v>
      </c>
      <c r="K698" s="9" t="str">
        <f>IFERROR(__xludf.DUMMYFUNCTION("""COMPUTED_VALUE"""),"TT Off South")</f>
        <v>TT Off South</v>
      </c>
      <c r="L698" s="9" t="str">
        <f>IFERROR(__xludf.DUMMYFUNCTION("""COMPUTED_VALUE"""),"Joyi")</f>
        <v>Joyi</v>
      </c>
      <c r="M698" s="9" t="str">
        <f>IFERROR(__xludf.DUMMYFUNCTION("""COMPUTED_VALUE"""),"Star")</f>
        <v>Star</v>
      </c>
      <c r="N698" s="9" t="str">
        <f>IFERROR(__xludf.DUMMYFUNCTION("""COMPUTED_VALUE"""),"Sweetened")</f>
        <v>Sweetened</v>
      </c>
      <c r="O698" s="9" t="str">
        <f>IFERROR(__xludf.DUMMYFUNCTION("""COMPUTED_VALUE"""),"TFA")</f>
        <v>TFA</v>
      </c>
      <c r="P698" s="9">
        <f>IFERROR(__xludf.DUMMYFUNCTION("""COMPUTED_VALUE"""),220.0)</f>
        <v>220</v>
      </c>
      <c r="Q698" s="9" t="str">
        <f>IFERROR(__xludf.DUMMYFUNCTION("""COMPUTED_VALUE"""),"Q2'23")</f>
        <v>Q2'23</v>
      </c>
      <c r="R698" s="9">
        <f>IFERROR(__xludf.DUMMYFUNCTION("""COMPUTED_VALUE"""),3.529044908190743)</f>
        <v>3.529044908</v>
      </c>
    </row>
    <row r="699" ht="14.25" customHeight="1">
      <c r="A699" s="3" t="s">
        <v>25</v>
      </c>
      <c r="B699" s="6" t="s">
        <v>38</v>
      </c>
      <c r="C699" s="3" t="s">
        <v>40</v>
      </c>
      <c r="D699" s="3" t="s">
        <v>13</v>
      </c>
      <c r="E699" s="3" t="s">
        <v>29</v>
      </c>
      <c r="F699" s="3">
        <v>220.0</v>
      </c>
      <c r="G699" s="4" t="s">
        <v>21</v>
      </c>
      <c r="H699" s="3">
        <v>1.0278622682978917</v>
      </c>
      <c r="K699" s="9" t="str">
        <f>IFERROR(__xludf.DUMMYFUNCTION("""COMPUTED_VALUE"""),"TT Off South")</f>
        <v>TT Off South</v>
      </c>
      <c r="L699" s="9" t="str">
        <f>IFERROR(__xludf.DUMMYFUNCTION("""COMPUTED_VALUE"""),"Joyi")</f>
        <v>Joyi</v>
      </c>
      <c r="M699" s="9" t="str">
        <f>IFERROR(__xludf.DUMMYFUNCTION("""COMPUTED_VALUE"""),"Star")</f>
        <v>Star</v>
      </c>
      <c r="N699" s="9" t="str">
        <f>IFERROR(__xludf.DUMMYFUNCTION("""COMPUTED_VALUE"""),"Sweetened")</f>
        <v>Sweetened</v>
      </c>
      <c r="O699" s="9" t="str">
        <f>IFERROR(__xludf.DUMMYFUNCTION("""COMPUTED_VALUE"""),"TFA")</f>
        <v>TFA</v>
      </c>
      <c r="P699" s="9">
        <f>IFERROR(__xludf.DUMMYFUNCTION("""COMPUTED_VALUE"""),220.0)</f>
        <v>220</v>
      </c>
      <c r="Q699" s="9" t="str">
        <f>IFERROR(__xludf.DUMMYFUNCTION("""COMPUTED_VALUE"""),"Q3'23")</f>
        <v>Q3'23</v>
      </c>
      <c r="R699" s="9">
        <f>IFERROR(__xludf.DUMMYFUNCTION("""COMPUTED_VALUE"""),3.57920348865013)</f>
        <v>3.579203489</v>
      </c>
    </row>
    <row r="700" ht="14.25" customHeight="1">
      <c r="A700" s="3" t="s">
        <v>25</v>
      </c>
      <c r="B700" s="6" t="s">
        <v>38</v>
      </c>
      <c r="C700" s="3" t="s">
        <v>40</v>
      </c>
      <c r="D700" s="3" t="s">
        <v>13</v>
      </c>
      <c r="E700" s="3" t="s">
        <v>29</v>
      </c>
      <c r="F700" s="3">
        <v>220.0</v>
      </c>
      <c r="G700" s="4" t="s">
        <v>22</v>
      </c>
      <c r="H700" s="3">
        <v>0.6818361945048073</v>
      </c>
      <c r="K700" s="9" t="str">
        <f>IFERROR(__xludf.DUMMYFUNCTION("""COMPUTED_VALUE"""),"TT Off South")</f>
        <v>TT Off South</v>
      </c>
      <c r="L700" s="9" t="str">
        <f>IFERROR(__xludf.DUMMYFUNCTION("""COMPUTED_VALUE"""),"Joyi")</f>
        <v>Joyi</v>
      </c>
      <c r="M700" s="9" t="str">
        <f>IFERROR(__xludf.DUMMYFUNCTION("""COMPUTED_VALUE"""),"Star")</f>
        <v>Star</v>
      </c>
      <c r="N700" s="9" t="str">
        <f>IFERROR(__xludf.DUMMYFUNCTION("""COMPUTED_VALUE"""),"Sweetened")</f>
        <v>Sweetened</v>
      </c>
      <c r="O700" s="9" t="str">
        <f>IFERROR(__xludf.DUMMYFUNCTION("""COMPUTED_VALUE"""),"TFA")</f>
        <v>TFA</v>
      </c>
      <c r="P700" s="9">
        <f>IFERROR(__xludf.DUMMYFUNCTION("""COMPUTED_VALUE"""),220.0)</f>
        <v>220</v>
      </c>
      <c r="Q700" s="9" t="str">
        <f>IFERROR(__xludf.DUMMYFUNCTION("""COMPUTED_VALUE"""),"Q4'23")</f>
        <v>Q4'23</v>
      </c>
      <c r="R700" s="9">
        <f>IFERROR(__xludf.DUMMYFUNCTION("""COMPUTED_VALUE"""),3.484423080237319)</f>
        <v>3.48442308</v>
      </c>
    </row>
    <row r="701" ht="14.25" customHeight="1">
      <c r="A701" s="3" t="s">
        <v>25</v>
      </c>
      <c r="B701" s="3" t="s">
        <v>36</v>
      </c>
      <c r="C701" s="3" t="s">
        <v>36</v>
      </c>
      <c r="D701" s="3" t="s">
        <v>37</v>
      </c>
      <c r="E701" s="3" t="s">
        <v>14</v>
      </c>
      <c r="F701" s="3">
        <v>180.0</v>
      </c>
      <c r="G701" s="4" t="s">
        <v>15</v>
      </c>
      <c r="H701" s="3">
        <v>1.324271604922933</v>
      </c>
      <c r="K701" s="9" t="str">
        <f>IFERROR(__xludf.DUMMYFUNCTION("""COMPUTED_VALUE"""),"TT Off South")</f>
        <v>TT Off South</v>
      </c>
      <c r="L701" s="9" t="str">
        <f>IFERROR(__xludf.DUMMYFUNCTION("""COMPUTED_VALUE"""),"Goldmilk")</f>
        <v>Goldmilk</v>
      </c>
      <c r="M701" s="9" t="str">
        <f>IFERROR(__xludf.DUMMYFUNCTION("""COMPUTED_VALUE"""),"Goldmilk")</f>
        <v>Goldmilk</v>
      </c>
      <c r="N701" s="9" t="str">
        <f>IFERROR(__xludf.DUMMYFUNCTION("""COMPUTED_VALUE"""),"Less Sugar")</f>
        <v>Less Sugar</v>
      </c>
      <c r="O701" s="9" t="str">
        <f>IFERROR(__xludf.DUMMYFUNCTION("""COMPUTED_VALUE"""),"Carton")</f>
        <v>Carton</v>
      </c>
      <c r="P701" s="9">
        <f>IFERROR(__xludf.DUMMYFUNCTION("""COMPUTED_VALUE"""),180.0)</f>
        <v>180</v>
      </c>
      <c r="Q701" s="9" t="str">
        <f>IFERROR(__xludf.DUMMYFUNCTION("""COMPUTED_VALUE"""),"Q1'22")</f>
        <v>Q1'22</v>
      </c>
      <c r="R701" s="9">
        <f>IFERROR(__xludf.DUMMYFUNCTION("""COMPUTED_VALUE"""),1.8710791500343629)</f>
        <v>1.87107915</v>
      </c>
    </row>
    <row r="702" ht="14.25" customHeight="1">
      <c r="A702" s="3" t="s">
        <v>25</v>
      </c>
      <c r="B702" s="3" t="s">
        <v>36</v>
      </c>
      <c r="C702" s="3" t="s">
        <v>36</v>
      </c>
      <c r="D702" s="3" t="s">
        <v>37</v>
      </c>
      <c r="E702" s="3" t="s">
        <v>14</v>
      </c>
      <c r="F702" s="3">
        <v>180.0</v>
      </c>
      <c r="G702" s="4" t="s">
        <v>16</v>
      </c>
      <c r="H702" s="3">
        <v>1.2248012183101646</v>
      </c>
      <c r="K702" s="9" t="str">
        <f>IFERROR(__xludf.DUMMYFUNCTION("""COMPUTED_VALUE"""),"TT Off South")</f>
        <v>TT Off South</v>
      </c>
      <c r="L702" s="9" t="str">
        <f>IFERROR(__xludf.DUMMYFUNCTION("""COMPUTED_VALUE"""),"Goldmilk")</f>
        <v>Goldmilk</v>
      </c>
      <c r="M702" s="9" t="str">
        <f>IFERROR(__xludf.DUMMYFUNCTION("""COMPUTED_VALUE"""),"Goldmilk")</f>
        <v>Goldmilk</v>
      </c>
      <c r="N702" s="9" t="str">
        <f>IFERROR(__xludf.DUMMYFUNCTION("""COMPUTED_VALUE"""),"Less Sugar")</f>
        <v>Less Sugar</v>
      </c>
      <c r="O702" s="9" t="str">
        <f>IFERROR(__xludf.DUMMYFUNCTION("""COMPUTED_VALUE"""),"Carton")</f>
        <v>Carton</v>
      </c>
      <c r="P702" s="9">
        <f>IFERROR(__xludf.DUMMYFUNCTION("""COMPUTED_VALUE"""),180.0)</f>
        <v>180</v>
      </c>
      <c r="Q702" s="9" t="str">
        <f>IFERROR(__xludf.DUMMYFUNCTION("""COMPUTED_VALUE"""),"Q2'22")</f>
        <v>Q2'22</v>
      </c>
      <c r="R702" s="9">
        <f>IFERROR(__xludf.DUMMYFUNCTION("""COMPUTED_VALUE"""),1.9251473936557306)</f>
        <v>1.925147394</v>
      </c>
    </row>
    <row r="703" ht="14.25" customHeight="1">
      <c r="A703" s="3" t="s">
        <v>25</v>
      </c>
      <c r="B703" s="3" t="s">
        <v>36</v>
      </c>
      <c r="C703" s="3" t="s">
        <v>36</v>
      </c>
      <c r="D703" s="3" t="s">
        <v>37</v>
      </c>
      <c r="E703" s="3" t="s">
        <v>14</v>
      </c>
      <c r="F703" s="3">
        <v>180.0</v>
      </c>
      <c r="G703" s="4" t="s">
        <v>17</v>
      </c>
      <c r="H703" s="3">
        <v>1.2413425775995155</v>
      </c>
      <c r="K703" s="9" t="str">
        <f>IFERROR(__xludf.DUMMYFUNCTION("""COMPUTED_VALUE"""),"TT Off South")</f>
        <v>TT Off South</v>
      </c>
      <c r="L703" s="9" t="str">
        <f>IFERROR(__xludf.DUMMYFUNCTION("""COMPUTED_VALUE"""),"Goldmilk")</f>
        <v>Goldmilk</v>
      </c>
      <c r="M703" s="9" t="str">
        <f>IFERROR(__xludf.DUMMYFUNCTION("""COMPUTED_VALUE"""),"Goldmilk")</f>
        <v>Goldmilk</v>
      </c>
      <c r="N703" s="9" t="str">
        <f>IFERROR(__xludf.DUMMYFUNCTION("""COMPUTED_VALUE"""),"Less Sugar")</f>
        <v>Less Sugar</v>
      </c>
      <c r="O703" s="9" t="str">
        <f>IFERROR(__xludf.DUMMYFUNCTION("""COMPUTED_VALUE"""),"Carton")</f>
        <v>Carton</v>
      </c>
      <c r="P703" s="9">
        <f>IFERROR(__xludf.DUMMYFUNCTION("""COMPUTED_VALUE"""),180.0)</f>
        <v>180</v>
      </c>
      <c r="Q703" s="9" t="str">
        <f>IFERROR(__xludf.DUMMYFUNCTION("""COMPUTED_VALUE"""),"Q3'22")</f>
        <v>Q3'22</v>
      </c>
      <c r="R703" s="9">
        <f>IFERROR(__xludf.DUMMYFUNCTION("""COMPUTED_VALUE"""),1.9582522595880878)</f>
        <v>1.95825226</v>
      </c>
    </row>
    <row r="704" ht="14.25" customHeight="1">
      <c r="A704" s="3" t="s">
        <v>25</v>
      </c>
      <c r="B704" s="3" t="s">
        <v>36</v>
      </c>
      <c r="C704" s="3" t="s">
        <v>36</v>
      </c>
      <c r="D704" s="3" t="s">
        <v>37</v>
      </c>
      <c r="E704" s="3" t="s">
        <v>14</v>
      </c>
      <c r="F704" s="3">
        <v>180.0</v>
      </c>
      <c r="G704" s="4" t="s">
        <v>18</v>
      </c>
      <c r="H704" s="3">
        <v>1.296044035459765</v>
      </c>
      <c r="K704" s="9" t="str">
        <f>IFERROR(__xludf.DUMMYFUNCTION("""COMPUTED_VALUE"""),"TT Off South")</f>
        <v>TT Off South</v>
      </c>
      <c r="L704" s="9" t="str">
        <f>IFERROR(__xludf.DUMMYFUNCTION("""COMPUTED_VALUE"""),"Goldmilk")</f>
        <v>Goldmilk</v>
      </c>
      <c r="M704" s="9" t="str">
        <f>IFERROR(__xludf.DUMMYFUNCTION("""COMPUTED_VALUE"""),"Goldmilk")</f>
        <v>Goldmilk</v>
      </c>
      <c r="N704" s="9" t="str">
        <f>IFERROR(__xludf.DUMMYFUNCTION("""COMPUTED_VALUE"""),"Less Sugar")</f>
        <v>Less Sugar</v>
      </c>
      <c r="O704" s="9" t="str">
        <f>IFERROR(__xludf.DUMMYFUNCTION("""COMPUTED_VALUE"""),"Carton")</f>
        <v>Carton</v>
      </c>
      <c r="P704" s="9">
        <f>IFERROR(__xludf.DUMMYFUNCTION("""COMPUTED_VALUE"""),180.0)</f>
        <v>180</v>
      </c>
      <c r="Q704" s="9" t="str">
        <f>IFERROR(__xludf.DUMMYFUNCTION("""COMPUTED_VALUE"""),"Q4'22")</f>
        <v>Q4'22</v>
      </c>
      <c r="R704" s="9">
        <f>IFERROR(__xludf.DUMMYFUNCTION("""COMPUTED_VALUE"""),1.8525342682078327)</f>
        <v>1.852534268</v>
      </c>
    </row>
    <row r="705" ht="14.25" customHeight="1">
      <c r="A705" s="3" t="s">
        <v>25</v>
      </c>
      <c r="B705" s="3" t="s">
        <v>36</v>
      </c>
      <c r="C705" s="3" t="s">
        <v>36</v>
      </c>
      <c r="D705" s="3" t="s">
        <v>37</v>
      </c>
      <c r="E705" s="3" t="s">
        <v>14</v>
      </c>
      <c r="F705" s="3">
        <v>180.0</v>
      </c>
      <c r="G705" s="4" t="s">
        <v>19</v>
      </c>
      <c r="H705" s="3">
        <v>1.485481143186157</v>
      </c>
      <c r="K705" s="9" t="str">
        <f>IFERROR(__xludf.DUMMYFUNCTION("""COMPUTED_VALUE"""),"TT Off South")</f>
        <v>TT Off South</v>
      </c>
      <c r="L705" s="9" t="str">
        <f>IFERROR(__xludf.DUMMYFUNCTION("""COMPUTED_VALUE"""),"Goldmilk")</f>
        <v>Goldmilk</v>
      </c>
      <c r="M705" s="9" t="str">
        <f>IFERROR(__xludf.DUMMYFUNCTION("""COMPUTED_VALUE"""),"Goldmilk")</f>
        <v>Goldmilk</v>
      </c>
      <c r="N705" s="9" t="str">
        <f>IFERROR(__xludf.DUMMYFUNCTION("""COMPUTED_VALUE"""),"Less Sugar")</f>
        <v>Less Sugar</v>
      </c>
      <c r="O705" s="9" t="str">
        <f>IFERROR(__xludf.DUMMYFUNCTION("""COMPUTED_VALUE"""),"Carton")</f>
        <v>Carton</v>
      </c>
      <c r="P705" s="9">
        <f>IFERROR(__xludf.DUMMYFUNCTION("""COMPUTED_VALUE"""),180.0)</f>
        <v>180</v>
      </c>
      <c r="Q705" s="9" t="str">
        <f>IFERROR(__xludf.DUMMYFUNCTION("""COMPUTED_VALUE"""),"Q1'23")</f>
        <v>Q1'23</v>
      </c>
      <c r="R705" s="9">
        <f>IFERROR(__xludf.DUMMYFUNCTION("""COMPUTED_VALUE"""),2.1222108560762076)</f>
        <v>2.122210856</v>
      </c>
    </row>
    <row r="706" ht="14.25" customHeight="1">
      <c r="A706" s="3" t="s">
        <v>25</v>
      </c>
      <c r="B706" s="3" t="s">
        <v>36</v>
      </c>
      <c r="C706" s="3" t="s">
        <v>36</v>
      </c>
      <c r="D706" s="3" t="s">
        <v>37</v>
      </c>
      <c r="E706" s="3" t="s">
        <v>14</v>
      </c>
      <c r="F706" s="3">
        <v>180.0</v>
      </c>
      <c r="G706" s="4" t="s">
        <v>20</v>
      </c>
      <c r="H706" s="3">
        <v>1.2248483537139299</v>
      </c>
      <c r="K706" s="9" t="str">
        <f>IFERROR(__xludf.DUMMYFUNCTION("""COMPUTED_VALUE"""),"TT Off South")</f>
        <v>TT Off South</v>
      </c>
      <c r="L706" s="9" t="str">
        <f>IFERROR(__xludf.DUMMYFUNCTION("""COMPUTED_VALUE"""),"Goldmilk")</f>
        <v>Goldmilk</v>
      </c>
      <c r="M706" s="9" t="str">
        <f>IFERROR(__xludf.DUMMYFUNCTION("""COMPUTED_VALUE"""),"Goldmilk")</f>
        <v>Goldmilk</v>
      </c>
      <c r="N706" s="9" t="str">
        <f>IFERROR(__xludf.DUMMYFUNCTION("""COMPUTED_VALUE"""),"Less Sugar")</f>
        <v>Less Sugar</v>
      </c>
      <c r="O706" s="9" t="str">
        <f>IFERROR(__xludf.DUMMYFUNCTION("""COMPUTED_VALUE"""),"Carton")</f>
        <v>Carton</v>
      </c>
      <c r="P706" s="9">
        <f>IFERROR(__xludf.DUMMYFUNCTION("""COMPUTED_VALUE"""),180.0)</f>
        <v>180</v>
      </c>
      <c r="Q706" s="9" t="str">
        <f>IFERROR(__xludf.DUMMYFUNCTION("""COMPUTED_VALUE"""),"Q2'23")</f>
        <v>Q2'23</v>
      </c>
      <c r="R706" s="9">
        <f>IFERROR(__xludf.DUMMYFUNCTION("""COMPUTED_VALUE"""),1.9853519279740273)</f>
        <v>1.985351928</v>
      </c>
    </row>
    <row r="707" ht="14.25" customHeight="1">
      <c r="A707" s="3" t="s">
        <v>25</v>
      </c>
      <c r="B707" s="3" t="s">
        <v>36</v>
      </c>
      <c r="C707" s="3" t="s">
        <v>36</v>
      </c>
      <c r="D707" s="3" t="s">
        <v>37</v>
      </c>
      <c r="E707" s="3" t="s">
        <v>14</v>
      </c>
      <c r="F707" s="3">
        <v>180.0</v>
      </c>
      <c r="G707" s="4" t="s">
        <v>21</v>
      </c>
      <c r="H707" s="3">
        <v>1.0691770093635098</v>
      </c>
      <c r="K707" s="9" t="str">
        <f>IFERROR(__xludf.DUMMYFUNCTION("""COMPUTED_VALUE"""),"TT Off South")</f>
        <v>TT Off South</v>
      </c>
      <c r="L707" s="9" t="str">
        <f>IFERROR(__xludf.DUMMYFUNCTION("""COMPUTED_VALUE"""),"Goldmilk")</f>
        <v>Goldmilk</v>
      </c>
      <c r="M707" s="9" t="str">
        <f>IFERROR(__xludf.DUMMYFUNCTION("""COMPUTED_VALUE"""),"Goldmilk")</f>
        <v>Goldmilk</v>
      </c>
      <c r="N707" s="9" t="str">
        <f>IFERROR(__xludf.DUMMYFUNCTION("""COMPUTED_VALUE"""),"Less Sugar")</f>
        <v>Less Sugar</v>
      </c>
      <c r="O707" s="9" t="str">
        <f>IFERROR(__xludf.DUMMYFUNCTION("""COMPUTED_VALUE"""),"Carton")</f>
        <v>Carton</v>
      </c>
      <c r="P707" s="9">
        <f>IFERROR(__xludf.DUMMYFUNCTION("""COMPUTED_VALUE"""),180.0)</f>
        <v>180</v>
      </c>
      <c r="Q707" s="9" t="str">
        <f>IFERROR(__xludf.DUMMYFUNCTION("""COMPUTED_VALUE"""),"Q3'23")</f>
        <v>Q3'23</v>
      </c>
      <c r="R707" s="9">
        <f>IFERROR(__xludf.DUMMYFUNCTION("""COMPUTED_VALUE"""),1.8608239002883042)</f>
        <v>1.8608239</v>
      </c>
    </row>
    <row r="708" ht="14.25" customHeight="1">
      <c r="A708" s="3" t="s">
        <v>25</v>
      </c>
      <c r="B708" s="3" t="s">
        <v>36</v>
      </c>
      <c r="C708" s="3" t="s">
        <v>36</v>
      </c>
      <c r="D708" s="3" t="s">
        <v>37</v>
      </c>
      <c r="E708" s="3" t="s">
        <v>14</v>
      </c>
      <c r="F708" s="3">
        <v>180.0</v>
      </c>
      <c r="G708" s="4" t="s">
        <v>22</v>
      </c>
      <c r="H708" s="3">
        <v>1.3248510510810694</v>
      </c>
      <c r="K708" s="9" t="str">
        <f>IFERROR(__xludf.DUMMYFUNCTION("""COMPUTED_VALUE"""),"TT Off South")</f>
        <v>TT Off South</v>
      </c>
      <c r="L708" s="9" t="str">
        <f>IFERROR(__xludf.DUMMYFUNCTION("""COMPUTED_VALUE"""),"Goldmilk")</f>
        <v>Goldmilk</v>
      </c>
      <c r="M708" s="9" t="str">
        <f>IFERROR(__xludf.DUMMYFUNCTION("""COMPUTED_VALUE"""),"Goldmilk")</f>
        <v>Goldmilk</v>
      </c>
      <c r="N708" s="9" t="str">
        <f>IFERROR(__xludf.DUMMYFUNCTION("""COMPUTED_VALUE"""),"Less Sugar")</f>
        <v>Less Sugar</v>
      </c>
      <c r="O708" s="9" t="str">
        <f>IFERROR(__xludf.DUMMYFUNCTION("""COMPUTED_VALUE"""),"Carton")</f>
        <v>Carton</v>
      </c>
      <c r="P708" s="9">
        <f>IFERROR(__xludf.DUMMYFUNCTION("""COMPUTED_VALUE"""),180.0)</f>
        <v>180</v>
      </c>
      <c r="Q708" s="9" t="str">
        <f>IFERROR(__xludf.DUMMYFUNCTION("""COMPUTED_VALUE"""),"Q4'23")</f>
        <v>Q4'23</v>
      </c>
      <c r="R708" s="9">
        <f>IFERROR(__xludf.DUMMYFUNCTION("""COMPUTED_VALUE"""),2.306968946101665)</f>
        <v>2.306968946</v>
      </c>
    </row>
    <row r="709" ht="14.25" customHeight="1">
      <c r="A709" s="3" t="s">
        <v>25</v>
      </c>
      <c r="B709" s="3" t="s">
        <v>36</v>
      </c>
      <c r="C709" s="3" t="s">
        <v>36</v>
      </c>
      <c r="D709" s="3" t="s">
        <v>13</v>
      </c>
      <c r="E709" s="3" t="s">
        <v>14</v>
      </c>
      <c r="F709" s="3">
        <v>110.0</v>
      </c>
      <c r="G709" s="4" t="s">
        <v>15</v>
      </c>
      <c r="H709" s="3">
        <v>4.89545462790811</v>
      </c>
      <c r="K709" s="9" t="str">
        <f>IFERROR(__xludf.DUMMYFUNCTION("""COMPUTED_VALUE"""),"TT Off South")</f>
        <v>TT Off South</v>
      </c>
      <c r="L709" s="9" t="str">
        <f>IFERROR(__xludf.DUMMYFUNCTION("""COMPUTED_VALUE"""),"Goldmilk")</f>
        <v>Goldmilk</v>
      </c>
      <c r="M709" s="9" t="str">
        <f>IFERROR(__xludf.DUMMYFUNCTION("""COMPUTED_VALUE"""),"Goldmilk")</f>
        <v>Goldmilk</v>
      </c>
      <c r="N709" s="9" t="str">
        <f>IFERROR(__xludf.DUMMYFUNCTION("""COMPUTED_VALUE"""),"Sweetened")</f>
        <v>Sweetened</v>
      </c>
      <c r="O709" s="9" t="str">
        <f>IFERROR(__xludf.DUMMYFUNCTION("""COMPUTED_VALUE"""),"Carton")</f>
        <v>Carton</v>
      </c>
      <c r="P709" s="9">
        <f>IFERROR(__xludf.DUMMYFUNCTION("""COMPUTED_VALUE"""),110.0)</f>
        <v>110</v>
      </c>
      <c r="Q709" s="9" t="str">
        <f>IFERROR(__xludf.DUMMYFUNCTION("""COMPUTED_VALUE"""),"Q1'22")</f>
        <v>Q1'22</v>
      </c>
      <c r="R709" s="9">
        <f>IFERROR(__xludf.DUMMYFUNCTION("""COMPUTED_VALUE"""),0.7781028484896689)</f>
        <v>0.7781028485</v>
      </c>
    </row>
    <row r="710" ht="14.25" customHeight="1">
      <c r="A710" s="3" t="s">
        <v>25</v>
      </c>
      <c r="B710" s="3" t="s">
        <v>36</v>
      </c>
      <c r="C710" s="3" t="s">
        <v>36</v>
      </c>
      <c r="D710" s="3" t="s">
        <v>13</v>
      </c>
      <c r="E710" s="3" t="s">
        <v>14</v>
      </c>
      <c r="F710" s="3">
        <v>110.0</v>
      </c>
      <c r="G710" s="4" t="s">
        <v>16</v>
      </c>
      <c r="H710" s="3">
        <v>4.126503899135488</v>
      </c>
      <c r="K710" s="9" t="str">
        <f>IFERROR(__xludf.DUMMYFUNCTION("""COMPUTED_VALUE"""),"TT Off South")</f>
        <v>TT Off South</v>
      </c>
      <c r="L710" s="9" t="str">
        <f>IFERROR(__xludf.DUMMYFUNCTION("""COMPUTED_VALUE"""),"Goldmilk")</f>
        <v>Goldmilk</v>
      </c>
      <c r="M710" s="9" t="str">
        <f>IFERROR(__xludf.DUMMYFUNCTION("""COMPUTED_VALUE"""),"Goldmilk")</f>
        <v>Goldmilk</v>
      </c>
      <c r="N710" s="9" t="str">
        <f>IFERROR(__xludf.DUMMYFUNCTION("""COMPUTED_VALUE"""),"Sweetened")</f>
        <v>Sweetened</v>
      </c>
      <c r="O710" s="9" t="str">
        <f>IFERROR(__xludf.DUMMYFUNCTION("""COMPUTED_VALUE"""),"Carton")</f>
        <v>Carton</v>
      </c>
      <c r="P710" s="9">
        <f>IFERROR(__xludf.DUMMYFUNCTION("""COMPUTED_VALUE"""),110.0)</f>
        <v>110</v>
      </c>
      <c r="Q710" s="9" t="str">
        <f>IFERROR(__xludf.DUMMYFUNCTION("""COMPUTED_VALUE"""),"Q2'22")</f>
        <v>Q2'22</v>
      </c>
      <c r="R710" s="9">
        <f>IFERROR(__xludf.DUMMYFUNCTION("""COMPUTED_VALUE"""),0.7178523654390049)</f>
        <v>0.7178523654</v>
      </c>
    </row>
    <row r="711" ht="14.25" customHeight="1">
      <c r="A711" s="3" t="s">
        <v>25</v>
      </c>
      <c r="B711" s="3" t="s">
        <v>36</v>
      </c>
      <c r="C711" s="3" t="s">
        <v>36</v>
      </c>
      <c r="D711" s="3" t="s">
        <v>13</v>
      </c>
      <c r="E711" s="3" t="s">
        <v>14</v>
      </c>
      <c r="F711" s="3">
        <v>110.0</v>
      </c>
      <c r="G711" s="4" t="s">
        <v>17</v>
      </c>
      <c r="H711" s="3">
        <v>4.3395343167538005</v>
      </c>
      <c r="K711" s="9" t="str">
        <f>IFERROR(__xludf.DUMMYFUNCTION("""COMPUTED_VALUE"""),"TT Off South")</f>
        <v>TT Off South</v>
      </c>
      <c r="L711" s="9" t="str">
        <f>IFERROR(__xludf.DUMMYFUNCTION("""COMPUTED_VALUE"""),"Goldmilk")</f>
        <v>Goldmilk</v>
      </c>
      <c r="M711" s="9" t="str">
        <f>IFERROR(__xludf.DUMMYFUNCTION("""COMPUTED_VALUE"""),"Goldmilk")</f>
        <v>Goldmilk</v>
      </c>
      <c r="N711" s="9" t="str">
        <f>IFERROR(__xludf.DUMMYFUNCTION("""COMPUTED_VALUE"""),"Sweetened")</f>
        <v>Sweetened</v>
      </c>
      <c r="O711" s="9" t="str">
        <f>IFERROR(__xludf.DUMMYFUNCTION("""COMPUTED_VALUE"""),"Carton")</f>
        <v>Carton</v>
      </c>
      <c r="P711" s="9">
        <f>IFERROR(__xludf.DUMMYFUNCTION("""COMPUTED_VALUE"""),110.0)</f>
        <v>110</v>
      </c>
      <c r="Q711" s="9" t="str">
        <f>IFERROR(__xludf.DUMMYFUNCTION("""COMPUTED_VALUE"""),"Q3'22")</f>
        <v>Q3'22</v>
      </c>
      <c r="R711" s="9">
        <f>IFERROR(__xludf.DUMMYFUNCTION("""COMPUTED_VALUE"""),0.6626361778114433)</f>
        <v>0.6626361778</v>
      </c>
    </row>
    <row r="712" ht="14.25" customHeight="1">
      <c r="A712" s="3" t="s">
        <v>25</v>
      </c>
      <c r="B712" s="3" t="s">
        <v>36</v>
      </c>
      <c r="C712" s="3" t="s">
        <v>36</v>
      </c>
      <c r="D712" s="3" t="s">
        <v>13</v>
      </c>
      <c r="E712" s="3" t="s">
        <v>14</v>
      </c>
      <c r="F712" s="3">
        <v>110.0</v>
      </c>
      <c r="G712" s="4" t="s">
        <v>18</v>
      </c>
      <c r="H712" s="3">
        <v>3.501835628185567</v>
      </c>
      <c r="K712" s="9" t="str">
        <f>IFERROR(__xludf.DUMMYFUNCTION("""COMPUTED_VALUE"""),"TT Off South")</f>
        <v>TT Off South</v>
      </c>
      <c r="L712" s="9" t="str">
        <f>IFERROR(__xludf.DUMMYFUNCTION("""COMPUTED_VALUE"""),"Goldmilk")</f>
        <v>Goldmilk</v>
      </c>
      <c r="M712" s="9" t="str">
        <f>IFERROR(__xludf.DUMMYFUNCTION("""COMPUTED_VALUE"""),"Goldmilk")</f>
        <v>Goldmilk</v>
      </c>
      <c r="N712" s="9" t="str">
        <f>IFERROR(__xludf.DUMMYFUNCTION("""COMPUTED_VALUE"""),"Sweetened")</f>
        <v>Sweetened</v>
      </c>
      <c r="O712" s="9" t="str">
        <f>IFERROR(__xludf.DUMMYFUNCTION("""COMPUTED_VALUE"""),"Carton")</f>
        <v>Carton</v>
      </c>
      <c r="P712" s="9">
        <f>IFERROR(__xludf.DUMMYFUNCTION("""COMPUTED_VALUE"""),110.0)</f>
        <v>110</v>
      </c>
      <c r="Q712" s="9" t="str">
        <f>IFERROR(__xludf.DUMMYFUNCTION("""COMPUTED_VALUE"""),"Q4'22")</f>
        <v>Q4'22</v>
      </c>
      <c r="R712" s="9">
        <f>IFERROR(__xludf.DUMMYFUNCTION("""COMPUTED_VALUE"""),0.5716139875007724)</f>
        <v>0.5716139875</v>
      </c>
    </row>
    <row r="713" ht="14.25" customHeight="1">
      <c r="A713" s="3" t="s">
        <v>25</v>
      </c>
      <c r="B713" s="3" t="s">
        <v>36</v>
      </c>
      <c r="C713" s="3" t="s">
        <v>36</v>
      </c>
      <c r="D713" s="3" t="s">
        <v>13</v>
      </c>
      <c r="E713" s="3" t="s">
        <v>14</v>
      </c>
      <c r="F713" s="3">
        <v>110.0</v>
      </c>
      <c r="G713" s="4" t="s">
        <v>19</v>
      </c>
      <c r="H713" s="3">
        <v>4.1611700387696064</v>
      </c>
      <c r="K713" s="9" t="str">
        <f>IFERROR(__xludf.DUMMYFUNCTION("""COMPUTED_VALUE"""),"TT Off South")</f>
        <v>TT Off South</v>
      </c>
      <c r="L713" s="9" t="str">
        <f>IFERROR(__xludf.DUMMYFUNCTION("""COMPUTED_VALUE"""),"Goldmilk")</f>
        <v>Goldmilk</v>
      </c>
      <c r="M713" s="9" t="str">
        <f>IFERROR(__xludf.DUMMYFUNCTION("""COMPUTED_VALUE"""),"Goldmilk")</f>
        <v>Goldmilk</v>
      </c>
      <c r="N713" s="9" t="str">
        <f>IFERROR(__xludf.DUMMYFUNCTION("""COMPUTED_VALUE"""),"Sweetened")</f>
        <v>Sweetened</v>
      </c>
      <c r="O713" s="9" t="str">
        <f>IFERROR(__xludf.DUMMYFUNCTION("""COMPUTED_VALUE"""),"Carton")</f>
        <v>Carton</v>
      </c>
      <c r="P713" s="9">
        <f>IFERROR(__xludf.DUMMYFUNCTION("""COMPUTED_VALUE"""),110.0)</f>
        <v>110</v>
      </c>
      <c r="Q713" s="9" t="str">
        <f>IFERROR(__xludf.DUMMYFUNCTION("""COMPUTED_VALUE"""),"Q1'23")</f>
        <v>Q1'23</v>
      </c>
      <c r="R713" s="9">
        <f>IFERROR(__xludf.DUMMYFUNCTION("""COMPUTED_VALUE"""),0.7168881362725018)</f>
        <v>0.7168881363</v>
      </c>
    </row>
    <row r="714" ht="14.25" customHeight="1">
      <c r="A714" s="3" t="s">
        <v>25</v>
      </c>
      <c r="B714" s="3" t="s">
        <v>36</v>
      </c>
      <c r="C714" s="3" t="s">
        <v>36</v>
      </c>
      <c r="D714" s="3" t="s">
        <v>13</v>
      </c>
      <c r="E714" s="3" t="s">
        <v>14</v>
      </c>
      <c r="F714" s="3">
        <v>110.0</v>
      </c>
      <c r="G714" s="4" t="s">
        <v>20</v>
      </c>
      <c r="H714" s="3">
        <v>3.899469040835347</v>
      </c>
      <c r="K714" s="9" t="str">
        <f>IFERROR(__xludf.DUMMYFUNCTION("""COMPUTED_VALUE"""),"TT Off South")</f>
        <v>TT Off South</v>
      </c>
      <c r="L714" s="9" t="str">
        <f>IFERROR(__xludf.DUMMYFUNCTION("""COMPUTED_VALUE"""),"Goldmilk")</f>
        <v>Goldmilk</v>
      </c>
      <c r="M714" s="9" t="str">
        <f>IFERROR(__xludf.DUMMYFUNCTION("""COMPUTED_VALUE"""),"Goldmilk")</f>
        <v>Goldmilk</v>
      </c>
      <c r="N714" s="9" t="str">
        <f>IFERROR(__xludf.DUMMYFUNCTION("""COMPUTED_VALUE"""),"Sweetened")</f>
        <v>Sweetened</v>
      </c>
      <c r="O714" s="9" t="str">
        <f>IFERROR(__xludf.DUMMYFUNCTION("""COMPUTED_VALUE"""),"Carton")</f>
        <v>Carton</v>
      </c>
      <c r="P714" s="9">
        <f>IFERROR(__xludf.DUMMYFUNCTION("""COMPUTED_VALUE"""),110.0)</f>
        <v>110</v>
      </c>
      <c r="Q714" s="9" t="str">
        <f>IFERROR(__xludf.DUMMYFUNCTION("""COMPUTED_VALUE"""),"Q2'23")</f>
        <v>Q2'23</v>
      </c>
      <c r="R714" s="9">
        <f>IFERROR(__xludf.DUMMYFUNCTION("""COMPUTED_VALUE"""),0.6935990303089968)</f>
        <v>0.6935990303</v>
      </c>
    </row>
    <row r="715" ht="14.25" customHeight="1">
      <c r="A715" s="3" t="s">
        <v>25</v>
      </c>
      <c r="B715" s="3" t="s">
        <v>36</v>
      </c>
      <c r="C715" s="3" t="s">
        <v>36</v>
      </c>
      <c r="D715" s="3" t="s">
        <v>13</v>
      </c>
      <c r="E715" s="3" t="s">
        <v>14</v>
      </c>
      <c r="F715" s="3">
        <v>110.0</v>
      </c>
      <c r="G715" s="4" t="s">
        <v>21</v>
      </c>
      <c r="H715" s="3">
        <v>3.6015091019527676</v>
      </c>
      <c r="K715" s="9" t="str">
        <f>IFERROR(__xludf.DUMMYFUNCTION("""COMPUTED_VALUE"""),"TT Off South")</f>
        <v>TT Off South</v>
      </c>
      <c r="L715" s="9" t="str">
        <f>IFERROR(__xludf.DUMMYFUNCTION("""COMPUTED_VALUE"""),"Goldmilk")</f>
        <v>Goldmilk</v>
      </c>
      <c r="M715" s="9" t="str">
        <f>IFERROR(__xludf.DUMMYFUNCTION("""COMPUTED_VALUE"""),"Goldmilk")</f>
        <v>Goldmilk</v>
      </c>
      <c r="N715" s="9" t="str">
        <f>IFERROR(__xludf.DUMMYFUNCTION("""COMPUTED_VALUE"""),"Sweetened")</f>
        <v>Sweetened</v>
      </c>
      <c r="O715" s="9" t="str">
        <f>IFERROR(__xludf.DUMMYFUNCTION("""COMPUTED_VALUE"""),"Carton")</f>
        <v>Carton</v>
      </c>
      <c r="P715" s="9">
        <f>IFERROR(__xludf.DUMMYFUNCTION("""COMPUTED_VALUE"""),110.0)</f>
        <v>110</v>
      </c>
      <c r="Q715" s="9" t="str">
        <f>IFERROR(__xludf.DUMMYFUNCTION("""COMPUTED_VALUE"""),"Q3'23")</f>
        <v>Q3'23</v>
      </c>
      <c r="R715" s="9">
        <f>IFERROR(__xludf.DUMMYFUNCTION("""COMPUTED_VALUE"""),0.7040472934064717)</f>
        <v>0.7040472934</v>
      </c>
    </row>
    <row r="716" ht="14.25" customHeight="1">
      <c r="A716" s="3" t="s">
        <v>25</v>
      </c>
      <c r="B716" s="3" t="s">
        <v>36</v>
      </c>
      <c r="C716" s="3" t="s">
        <v>36</v>
      </c>
      <c r="D716" s="3" t="s">
        <v>13</v>
      </c>
      <c r="E716" s="3" t="s">
        <v>14</v>
      </c>
      <c r="F716" s="3">
        <v>110.0</v>
      </c>
      <c r="G716" s="4" t="s">
        <v>22</v>
      </c>
      <c r="H716" s="3">
        <v>3.3562647408856514</v>
      </c>
      <c r="K716" s="9" t="str">
        <f>IFERROR(__xludf.DUMMYFUNCTION("""COMPUTED_VALUE"""),"TT Off South")</f>
        <v>TT Off South</v>
      </c>
      <c r="L716" s="9" t="str">
        <f>IFERROR(__xludf.DUMMYFUNCTION("""COMPUTED_VALUE"""),"Goldmilk")</f>
        <v>Goldmilk</v>
      </c>
      <c r="M716" s="9" t="str">
        <f>IFERROR(__xludf.DUMMYFUNCTION("""COMPUTED_VALUE"""),"Goldmilk")</f>
        <v>Goldmilk</v>
      </c>
      <c r="N716" s="9" t="str">
        <f>IFERROR(__xludf.DUMMYFUNCTION("""COMPUTED_VALUE"""),"Sweetened")</f>
        <v>Sweetened</v>
      </c>
      <c r="O716" s="9" t="str">
        <f>IFERROR(__xludf.DUMMYFUNCTION("""COMPUTED_VALUE"""),"Carton")</f>
        <v>Carton</v>
      </c>
      <c r="P716" s="9">
        <f>IFERROR(__xludf.DUMMYFUNCTION("""COMPUTED_VALUE"""),110.0)</f>
        <v>110</v>
      </c>
      <c r="Q716" s="9" t="str">
        <f>IFERROR(__xludf.DUMMYFUNCTION("""COMPUTED_VALUE"""),"Q4'23")</f>
        <v>Q4'23</v>
      </c>
      <c r="R716" s="9">
        <f>IFERROR(__xludf.DUMMYFUNCTION("""COMPUTED_VALUE"""),0.7207804965398499)</f>
        <v>0.7207804965</v>
      </c>
    </row>
    <row r="717" ht="14.25" customHeight="1">
      <c r="A717" s="3" t="s">
        <v>25</v>
      </c>
      <c r="B717" s="3" t="s">
        <v>36</v>
      </c>
      <c r="C717" s="3" t="s">
        <v>36</v>
      </c>
      <c r="D717" s="3" t="s">
        <v>13</v>
      </c>
      <c r="E717" s="3" t="s">
        <v>14</v>
      </c>
      <c r="F717" s="3">
        <v>180.0</v>
      </c>
      <c r="G717" s="4" t="s">
        <v>15</v>
      </c>
      <c r="H717" s="3">
        <v>6.817513411516835</v>
      </c>
      <c r="K717" s="9" t="str">
        <f>IFERROR(__xludf.DUMMYFUNCTION("""COMPUTED_VALUE"""),"TT Off South")</f>
        <v>TT Off South</v>
      </c>
      <c r="L717" s="9" t="str">
        <f>IFERROR(__xludf.DUMMYFUNCTION("""COMPUTED_VALUE"""),"Goldmilk")</f>
        <v>Goldmilk</v>
      </c>
      <c r="M717" s="9" t="str">
        <f>IFERROR(__xludf.DUMMYFUNCTION("""COMPUTED_VALUE"""),"Goldmilk")</f>
        <v>Goldmilk</v>
      </c>
      <c r="N717" s="9" t="str">
        <f>IFERROR(__xludf.DUMMYFUNCTION("""COMPUTED_VALUE"""),"Sweetened")</f>
        <v>Sweetened</v>
      </c>
      <c r="O717" s="9" t="str">
        <f>IFERROR(__xludf.DUMMYFUNCTION("""COMPUTED_VALUE"""),"Carton")</f>
        <v>Carton</v>
      </c>
      <c r="P717" s="9">
        <f>IFERROR(__xludf.DUMMYFUNCTION("""COMPUTED_VALUE"""),180.0)</f>
        <v>180</v>
      </c>
      <c r="Q717" s="9" t="str">
        <f>IFERROR(__xludf.DUMMYFUNCTION("""COMPUTED_VALUE"""),"Q1'22")</f>
        <v>Q1'22</v>
      </c>
      <c r="R717" s="9">
        <f>IFERROR(__xludf.DUMMYFUNCTION("""COMPUTED_VALUE"""),4.103972028280559)</f>
        <v>4.103972028</v>
      </c>
    </row>
    <row r="718" ht="14.25" customHeight="1">
      <c r="A718" s="3" t="s">
        <v>25</v>
      </c>
      <c r="B718" s="3" t="s">
        <v>36</v>
      </c>
      <c r="C718" s="3" t="s">
        <v>36</v>
      </c>
      <c r="D718" s="3" t="s">
        <v>13</v>
      </c>
      <c r="E718" s="3" t="s">
        <v>14</v>
      </c>
      <c r="F718" s="3">
        <v>180.0</v>
      </c>
      <c r="G718" s="4" t="s">
        <v>16</v>
      </c>
      <c r="H718" s="3">
        <v>5.987385084162704</v>
      </c>
      <c r="K718" s="9" t="str">
        <f>IFERROR(__xludf.DUMMYFUNCTION("""COMPUTED_VALUE"""),"TT Off South")</f>
        <v>TT Off South</v>
      </c>
      <c r="L718" s="9" t="str">
        <f>IFERROR(__xludf.DUMMYFUNCTION("""COMPUTED_VALUE"""),"Goldmilk")</f>
        <v>Goldmilk</v>
      </c>
      <c r="M718" s="9" t="str">
        <f>IFERROR(__xludf.DUMMYFUNCTION("""COMPUTED_VALUE"""),"Goldmilk")</f>
        <v>Goldmilk</v>
      </c>
      <c r="N718" s="9" t="str">
        <f>IFERROR(__xludf.DUMMYFUNCTION("""COMPUTED_VALUE"""),"Sweetened")</f>
        <v>Sweetened</v>
      </c>
      <c r="O718" s="9" t="str">
        <f>IFERROR(__xludf.DUMMYFUNCTION("""COMPUTED_VALUE"""),"Carton")</f>
        <v>Carton</v>
      </c>
      <c r="P718" s="9">
        <f>IFERROR(__xludf.DUMMYFUNCTION("""COMPUTED_VALUE"""),180.0)</f>
        <v>180</v>
      </c>
      <c r="Q718" s="9" t="str">
        <f>IFERROR(__xludf.DUMMYFUNCTION("""COMPUTED_VALUE"""),"Q2'22")</f>
        <v>Q2'22</v>
      </c>
      <c r="R718" s="9">
        <f>IFERROR(__xludf.DUMMYFUNCTION("""COMPUTED_VALUE"""),3.9097050729108385)</f>
        <v>3.909705073</v>
      </c>
    </row>
    <row r="719" ht="14.25" customHeight="1">
      <c r="A719" s="3" t="s">
        <v>25</v>
      </c>
      <c r="B719" s="3" t="s">
        <v>36</v>
      </c>
      <c r="C719" s="3" t="s">
        <v>36</v>
      </c>
      <c r="D719" s="3" t="s">
        <v>13</v>
      </c>
      <c r="E719" s="3" t="s">
        <v>14</v>
      </c>
      <c r="F719" s="3">
        <v>180.0</v>
      </c>
      <c r="G719" s="4" t="s">
        <v>17</v>
      </c>
      <c r="H719" s="3">
        <v>5.146824306446844</v>
      </c>
      <c r="K719" s="9" t="str">
        <f>IFERROR(__xludf.DUMMYFUNCTION("""COMPUTED_VALUE"""),"TT Off South")</f>
        <v>TT Off South</v>
      </c>
      <c r="L719" s="9" t="str">
        <f>IFERROR(__xludf.DUMMYFUNCTION("""COMPUTED_VALUE"""),"Goldmilk")</f>
        <v>Goldmilk</v>
      </c>
      <c r="M719" s="9" t="str">
        <f>IFERROR(__xludf.DUMMYFUNCTION("""COMPUTED_VALUE"""),"Goldmilk")</f>
        <v>Goldmilk</v>
      </c>
      <c r="N719" s="9" t="str">
        <f>IFERROR(__xludf.DUMMYFUNCTION("""COMPUTED_VALUE"""),"Sweetened")</f>
        <v>Sweetened</v>
      </c>
      <c r="O719" s="9" t="str">
        <f>IFERROR(__xludf.DUMMYFUNCTION("""COMPUTED_VALUE"""),"Carton")</f>
        <v>Carton</v>
      </c>
      <c r="P719" s="9">
        <f>IFERROR(__xludf.DUMMYFUNCTION("""COMPUTED_VALUE"""),180.0)</f>
        <v>180</v>
      </c>
      <c r="Q719" s="9" t="str">
        <f>IFERROR(__xludf.DUMMYFUNCTION("""COMPUTED_VALUE"""),"Q3'22")</f>
        <v>Q3'22</v>
      </c>
      <c r="R719" s="9">
        <f>IFERROR(__xludf.DUMMYFUNCTION("""COMPUTED_VALUE"""),3.838798625387283)</f>
        <v>3.838798625</v>
      </c>
    </row>
    <row r="720" ht="14.25" customHeight="1">
      <c r="A720" s="3" t="s">
        <v>25</v>
      </c>
      <c r="B720" s="3" t="s">
        <v>36</v>
      </c>
      <c r="C720" s="3" t="s">
        <v>36</v>
      </c>
      <c r="D720" s="3" t="s">
        <v>13</v>
      </c>
      <c r="E720" s="3" t="s">
        <v>14</v>
      </c>
      <c r="F720" s="3">
        <v>180.0</v>
      </c>
      <c r="G720" s="4" t="s">
        <v>18</v>
      </c>
      <c r="H720" s="3">
        <v>4.522436517973619</v>
      </c>
      <c r="K720" s="9" t="str">
        <f>IFERROR(__xludf.DUMMYFUNCTION("""COMPUTED_VALUE"""),"TT Off South")</f>
        <v>TT Off South</v>
      </c>
      <c r="L720" s="9" t="str">
        <f>IFERROR(__xludf.DUMMYFUNCTION("""COMPUTED_VALUE"""),"Goldmilk")</f>
        <v>Goldmilk</v>
      </c>
      <c r="M720" s="9" t="str">
        <f>IFERROR(__xludf.DUMMYFUNCTION("""COMPUTED_VALUE"""),"Goldmilk")</f>
        <v>Goldmilk</v>
      </c>
      <c r="N720" s="9" t="str">
        <f>IFERROR(__xludf.DUMMYFUNCTION("""COMPUTED_VALUE"""),"Sweetened")</f>
        <v>Sweetened</v>
      </c>
      <c r="O720" s="9" t="str">
        <f>IFERROR(__xludf.DUMMYFUNCTION("""COMPUTED_VALUE"""),"Carton")</f>
        <v>Carton</v>
      </c>
      <c r="P720" s="9">
        <f>IFERROR(__xludf.DUMMYFUNCTION("""COMPUTED_VALUE"""),180.0)</f>
        <v>180</v>
      </c>
      <c r="Q720" s="9" t="str">
        <f>IFERROR(__xludf.DUMMYFUNCTION("""COMPUTED_VALUE"""),"Q4'22")</f>
        <v>Q4'22</v>
      </c>
      <c r="R720" s="9">
        <f>IFERROR(__xludf.DUMMYFUNCTION("""COMPUTED_VALUE"""),3.251862874478295)</f>
        <v>3.251862874</v>
      </c>
    </row>
    <row r="721" ht="14.25" customHeight="1">
      <c r="A721" s="3" t="s">
        <v>25</v>
      </c>
      <c r="B721" s="3" t="s">
        <v>36</v>
      </c>
      <c r="C721" s="3" t="s">
        <v>36</v>
      </c>
      <c r="D721" s="3" t="s">
        <v>13</v>
      </c>
      <c r="E721" s="3" t="s">
        <v>14</v>
      </c>
      <c r="F721" s="3">
        <v>180.0</v>
      </c>
      <c r="G721" s="4" t="s">
        <v>19</v>
      </c>
      <c r="H721" s="3">
        <v>5.673392697188176</v>
      </c>
      <c r="K721" s="9" t="str">
        <f>IFERROR(__xludf.DUMMYFUNCTION("""COMPUTED_VALUE"""),"TT Off South")</f>
        <v>TT Off South</v>
      </c>
      <c r="L721" s="9" t="str">
        <f>IFERROR(__xludf.DUMMYFUNCTION("""COMPUTED_VALUE"""),"Goldmilk")</f>
        <v>Goldmilk</v>
      </c>
      <c r="M721" s="9" t="str">
        <f>IFERROR(__xludf.DUMMYFUNCTION("""COMPUTED_VALUE"""),"Goldmilk")</f>
        <v>Goldmilk</v>
      </c>
      <c r="N721" s="9" t="str">
        <f>IFERROR(__xludf.DUMMYFUNCTION("""COMPUTED_VALUE"""),"Sweetened")</f>
        <v>Sweetened</v>
      </c>
      <c r="O721" s="9" t="str">
        <f>IFERROR(__xludf.DUMMYFUNCTION("""COMPUTED_VALUE"""),"Carton")</f>
        <v>Carton</v>
      </c>
      <c r="P721" s="9">
        <f>IFERROR(__xludf.DUMMYFUNCTION("""COMPUTED_VALUE"""),180.0)</f>
        <v>180</v>
      </c>
      <c r="Q721" s="9" t="str">
        <f>IFERROR(__xludf.DUMMYFUNCTION("""COMPUTED_VALUE"""),"Q1'23")</f>
        <v>Q1'23</v>
      </c>
      <c r="R721" s="9">
        <f>IFERROR(__xludf.DUMMYFUNCTION("""COMPUTED_VALUE"""),3.5466143582980525)</f>
        <v>3.546614358</v>
      </c>
    </row>
    <row r="722" ht="14.25" customHeight="1">
      <c r="A722" s="3" t="s">
        <v>25</v>
      </c>
      <c r="B722" s="3" t="s">
        <v>36</v>
      </c>
      <c r="C722" s="3" t="s">
        <v>36</v>
      </c>
      <c r="D722" s="3" t="s">
        <v>13</v>
      </c>
      <c r="E722" s="3" t="s">
        <v>14</v>
      </c>
      <c r="F722" s="3">
        <v>180.0</v>
      </c>
      <c r="G722" s="4" t="s">
        <v>20</v>
      </c>
      <c r="H722" s="3">
        <v>5.291299164471356</v>
      </c>
      <c r="K722" s="9" t="str">
        <f>IFERROR(__xludf.DUMMYFUNCTION("""COMPUTED_VALUE"""),"TT Off South")</f>
        <v>TT Off South</v>
      </c>
      <c r="L722" s="9" t="str">
        <f>IFERROR(__xludf.DUMMYFUNCTION("""COMPUTED_VALUE"""),"Goldmilk")</f>
        <v>Goldmilk</v>
      </c>
      <c r="M722" s="9" t="str">
        <f>IFERROR(__xludf.DUMMYFUNCTION("""COMPUTED_VALUE"""),"Goldmilk")</f>
        <v>Goldmilk</v>
      </c>
      <c r="N722" s="9" t="str">
        <f>IFERROR(__xludf.DUMMYFUNCTION("""COMPUTED_VALUE"""),"Sweetened")</f>
        <v>Sweetened</v>
      </c>
      <c r="O722" s="9" t="str">
        <f>IFERROR(__xludf.DUMMYFUNCTION("""COMPUTED_VALUE"""),"Carton")</f>
        <v>Carton</v>
      </c>
      <c r="P722" s="9">
        <f>IFERROR(__xludf.DUMMYFUNCTION("""COMPUTED_VALUE"""),180.0)</f>
        <v>180</v>
      </c>
      <c r="Q722" s="9" t="str">
        <f>IFERROR(__xludf.DUMMYFUNCTION("""COMPUTED_VALUE"""),"Q2'23")</f>
        <v>Q2'23</v>
      </c>
      <c r="R722" s="9">
        <f>IFERROR(__xludf.DUMMYFUNCTION("""COMPUTED_VALUE"""),3.5544600535817525)</f>
        <v>3.554460054</v>
      </c>
    </row>
    <row r="723" ht="14.25" customHeight="1">
      <c r="A723" s="3" t="s">
        <v>25</v>
      </c>
      <c r="B723" s="3" t="s">
        <v>36</v>
      </c>
      <c r="C723" s="3" t="s">
        <v>36</v>
      </c>
      <c r="D723" s="3" t="s">
        <v>13</v>
      </c>
      <c r="E723" s="3" t="s">
        <v>14</v>
      </c>
      <c r="F723" s="3">
        <v>180.0</v>
      </c>
      <c r="G723" s="4" t="s">
        <v>21</v>
      </c>
      <c r="H723" s="3">
        <v>4.2422095095499515</v>
      </c>
      <c r="K723" s="9" t="str">
        <f>IFERROR(__xludf.DUMMYFUNCTION("""COMPUTED_VALUE"""),"TT Off South")</f>
        <v>TT Off South</v>
      </c>
      <c r="L723" s="9" t="str">
        <f>IFERROR(__xludf.DUMMYFUNCTION("""COMPUTED_VALUE"""),"Goldmilk")</f>
        <v>Goldmilk</v>
      </c>
      <c r="M723" s="9" t="str">
        <f>IFERROR(__xludf.DUMMYFUNCTION("""COMPUTED_VALUE"""),"Goldmilk")</f>
        <v>Goldmilk</v>
      </c>
      <c r="N723" s="9" t="str">
        <f>IFERROR(__xludf.DUMMYFUNCTION("""COMPUTED_VALUE"""),"Sweetened")</f>
        <v>Sweetened</v>
      </c>
      <c r="O723" s="9" t="str">
        <f>IFERROR(__xludf.DUMMYFUNCTION("""COMPUTED_VALUE"""),"Carton")</f>
        <v>Carton</v>
      </c>
      <c r="P723" s="9">
        <f>IFERROR(__xludf.DUMMYFUNCTION("""COMPUTED_VALUE"""),180.0)</f>
        <v>180</v>
      </c>
      <c r="Q723" s="9" t="str">
        <f>IFERROR(__xludf.DUMMYFUNCTION("""COMPUTED_VALUE"""),"Q3'23")</f>
        <v>Q3'23</v>
      </c>
      <c r="R723" s="9">
        <f>IFERROR(__xludf.DUMMYFUNCTION("""COMPUTED_VALUE"""),3.0903568710844533)</f>
        <v>3.090356871</v>
      </c>
    </row>
    <row r="724" ht="14.25" customHeight="1">
      <c r="A724" s="3" t="s">
        <v>25</v>
      </c>
      <c r="B724" s="3" t="s">
        <v>36</v>
      </c>
      <c r="C724" s="3" t="s">
        <v>36</v>
      </c>
      <c r="D724" s="3" t="s">
        <v>13</v>
      </c>
      <c r="E724" s="3" t="s">
        <v>14</v>
      </c>
      <c r="F724" s="3">
        <v>180.0</v>
      </c>
      <c r="G724" s="4" t="s">
        <v>22</v>
      </c>
      <c r="H724" s="3">
        <v>4.649858075187849</v>
      </c>
      <c r="K724" s="9" t="str">
        <f>IFERROR(__xludf.DUMMYFUNCTION("""COMPUTED_VALUE"""),"TT Off South")</f>
        <v>TT Off South</v>
      </c>
      <c r="L724" s="9" t="str">
        <f>IFERROR(__xludf.DUMMYFUNCTION("""COMPUTED_VALUE"""),"Goldmilk")</f>
        <v>Goldmilk</v>
      </c>
      <c r="M724" s="9" t="str">
        <f>IFERROR(__xludf.DUMMYFUNCTION("""COMPUTED_VALUE"""),"Goldmilk")</f>
        <v>Goldmilk</v>
      </c>
      <c r="N724" s="9" t="str">
        <f>IFERROR(__xludf.DUMMYFUNCTION("""COMPUTED_VALUE"""),"Sweetened")</f>
        <v>Sweetened</v>
      </c>
      <c r="O724" s="9" t="str">
        <f>IFERROR(__xludf.DUMMYFUNCTION("""COMPUTED_VALUE"""),"Carton")</f>
        <v>Carton</v>
      </c>
      <c r="P724" s="9">
        <f>IFERROR(__xludf.DUMMYFUNCTION("""COMPUTED_VALUE"""),180.0)</f>
        <v>180</v>
      </c>
      <c r="Q724" s="9" t="str">
        <f>IFERROR(__xludf.DUMMYFUNCTION("""COMPUTED_VALUE"""),"Q4'23")</f>
        <v>Q4'23</v>
      </c>
      <c r="R724" s="9">
        <f>IFERROR(__xludf.DUMMYFUNCTION("""COMPUTED_VALUE"""),3.1848726967647254)</f>
        <v>3.184872697</v>
      </c>
    </row>
    <row r="725" ht="14.25" customHeight="1">
      <c r="A725" s="3" t="s">
        <v>25</v>
      </c>
      <c r="B725" s="3" t="s">
        <v>32</v>
      </c>
      <c r="C725" s="3" t="s">
        <v>46</v>
      </c>
      <c r="D725" s="3" t="s">
        <v>34</v>
      </c>
      <c r="E725" s="3" t="s">
        <v>14</v>
      </c>
      <c r="F725" s="3">
        <v>110.0</v>
      </c>
      <c r="G725" s="4" t="s">
        <v>15</v>
      </c>
      <c r="H725" s="3">
        <v>4.683109856404891</v>
      </c>
      <c r="K725" s="9" t="str">
        <f>IFERROR(__xludf.DUMMYFUNCTION("""COMPUTED_VALUE"""),"TT Off South")</f>
        <v>TT Off South</v>
      </c>
      <c r="L725" s="9" t="str">
        <f>IFERROR(__xludf.DUMMYFUNCTION("""COMPUTED_VALUE"""),"Farmy")</f>
        <v>Farmy</v>
      </c>
      <c r="M725" s="9" t="str">
        <f>IFERROR(__xludf.DUMMYFUNCTION("""COMPUTED_VALUE"""),"Pro Plus ")</f>
        <v>Pro Plus </v>
      </c>
      <c r="N725" s="9" t="str">
        <f>IFERROR(__xludf.DUMMYFUNCTION("""COMPUTED_VALUE"""),"Vanilla")</f>
        <v>Vanilla</v>
      </c>
      <c r="O725" s="9" t="str">
        <f>IFERROR(__xludf.DUMMYFUNCTION("""COMPUTED_VALUE"""),"Carton")</f>
        <v>Carton</v>
      </c>
      <c r="P725" s="9">
        <f>IFERROR(__xludf.DUMMYFUNCTION("""COMPUTED_VALUE"""),110.0)</f>
        <v>110</v>
      </c>
      <c r="Q725" s="9" t="str">
        <f>IFERROR(__xludf.DUMMYFUNCTION("""COMPUTED_VALUE"""),"Q1'22")</f>
        <v>Q1'22</v>
      </c>
      <c r="R725" s="9">
        <f>IFERROR(__xludf.DUMMYFUNCTION("""COMPUTED_VALUE"""),2.4388586851963634)</f>
        <v>2.438858685</v>
      </c>
    </row>
    <row r="726" ht="14.25" customHeight="1">
      <c r="A726" s="3" t="s">
        <v>25</v>
      </c>
      <c r="B726" s="3" t="s">
        <v>32</v>
      </c>
      <c r="C726" s="3" t="s">
        <v>46</v>
      </c>
      <c r="D726" s="3" t="s">
        <v>34</v>
      </c>
      <c r="E726" s="3" t="s">
        <v>14</v>
      </c>
      <c r="F726" s="3">
        <v>110.0</v>
      </c>
      <c r="G726" s="4" t="s">
        <v>16</v>
      </c>
      <c r="H726" s="3">
        <v>5.8225285487795535</v>
      </c>
      <c r="K726" s="9" t="str">
        <f>IFERROR(__xludf.DUMMYFUNCTION("""COMPUTED_VALUE"""),"TT Off South")</f>
        <v>TT Off South</v>
      </c>
      <c r="L726" s="9" t="str">
        <f>IFERROR(__xludf.DUMMYFUNCTION("""COMPUTED_VALUE"""),"Farmy")</f>
        <v>Farmy</v>
      </c>
      <c r="M726" s="9" t="str">
        <f>IFERROR(__xludf.DUMMYFUNCTION("""COMPUTED_VALUE"""),"Pro Plus ")</f>
        <v>Pro Plus </v>
      </c>
      <c r="N726" s="9" t="str">
        <f>IFERROR(__xludf.DUMMYFUNCTION("""COMPUTED_VALUE"""),"Vanilla")</f>
        <v>Vanilla</v>
      </c>
      <c r="O726" s="9" t="str">
        <f>IFERROR(__xludf.DUMMYFUNCTION("""COMPUTED_VALUE"""),"Carton")</f>
        <v>Carton</v>
      </c>
      <c r="P726" s="9">
        <f>IFERROR(__xludf.DUMMYFUNCTION("""COMPUTED_VALUE"""),110.0)</f>
        <v>110</v>
      </c>
      <c r="Q726" s="9" t="str">
        <f>IFERROR(__xludf.DUMMYFUNCTION("""COMPUTED_VALUE"""),"Q2'22")</f>
        <v>Q2'22</v>
      </c>
      <c r="R726" s="9">
        <f>IFERROR(__xludf.DUMMYFUNCTION("""COMPUTED_VALUE"""),2.4378828285172625)</f>
        <v>2.437882829</v>
      </c>
    </row>
    <row r="727" ht="14.25" customHeight="1">
      <c r="A727" s="3" t="s">
        <v>25</v>
      </c>
      <c r="B727" s="3" t="s">
        <v>32</v>
      </c>
      <c r="C727" s="3" t="s">
        <v>46</v>
      </c>
      <c r="D727" s="3" t="s">
        <v>34</v>
      </c>
      <c r="E727" s="3" t="s">
        <v>14</v>
      </c>
      <c r="F727" s="3">
        <v>110.0</v>
      </c>
      <c r="G727" s="4" t="s">
        <v>17</v>
      </c>
      <c r="H727" s="3">
        <v>6.192347289154222</v>
      </c>
      <c r="K727" s="9" t="str">
        <f>IFERROR(__xludf.DUMMYFUNCTION("""COMPUTED_VALUE"""),"TT Off South")</f>
        <v>TT Off South</v>
      </c>
      <c r="L727" s="9" t="str">
        <f>IFERROR(__xludf.DUMMYFUNCTION("""COMPUTED_VALUE"""),"Farmy")</f>
        <v>Farmy</v>
      </c>
      <c r="M727" s="9" t="str">
        <f>IFERROR(__xludf.DUMMYFUNCTION("""COMPUTED_VALUE"""),"Pro Plus ")</f>
        <v>Pro Plus </v>
      </c>
      <c r="N727" s="9" t="str">
        <f>IFERROR(__xludf.DUMMYFUNCTION("""COMPUTED_VALUE"""),"Vanilla")</f>
        <v>Vanilla</v>
      </c>
      <c r="O727" s="9" t="str">
        <f>IFERROR(__xludf.DUMMYFUNCTION("""COMPUTED_VALUE"""),"Carton")</f>
        <v>Carton</v>
      </c>
      <c r="P727" s="9">
        <f>IFERROR(__xludf.DUMMYFUNCTION("""COMPUTED_VALUE"""),110.0)</f>
        <v>110</v>
      </c>
      <c r="Q727" s="9" t="str">
        <f>IFERROR(__xludf.DUMMYFUNCTION("""COMPUTED_VALUE"""),"Q3'22")</f>
        <v>Q3'22</v>
      </c>
      <c r="R727" s="9">
        <f>IFERROR(__xludf.DUMMYFUNCTION("""COMPUTED_VALUE"""),2.6725654940998287)</f>
        <v>2.672565494</v>
      </c>
    </row>
    <row r="728" ht="14.25" customHeight="1">
      <c r="A728" s="3" t="s">
        <v>25</v>
      </c>
      <c r="B728" s="3" t="s">
        <v>32</v>
      </c>
      <c r="C728" s="3" t="s">
        <v>46</v>
      </c>
      <c r="D728" s="3" t="s">
        <v>34</v>
      </c>
      <c r="E728" s="3" t="s">
        <v>14</v>
      </c>
      <c r="F728" s="3">
        <v>110.0</v>
      </c>
      <c r="G728" s="4" t="s">
        <v>18</v>
      </c>
      <c r="H728" s="3">
        <v>7.392121883442863</v>
      </c>
      <c r="K728" s="9" t="str">
        <f>IFERROR(__xludf.DUMMYFUNCTION("""COMPUTED_VALUE"""),"TT Off South")</f>
        <v>TT Off South</v>
      </c>
      <c r="L728" s="9" t="str">
        <f>IFERROR(__xludf.DUMMYFUNCTION("""COMPUTED_VALUE"""),"Farmy")</f>
        <v>Farmy</v>
      </c>
      <c r="M728" s="9" t="str">
        <f>IFERROR(__xludf.DUMMYFUNCTION("""COMPUTED_VALUE"""),"Pro Plus ")</f>
        <v>Pro Plus </v>
      </c>
      <c r="N728" s="9" t="str">
        <f>IFERROR(__xludf.DUMMYFUNCTION("""COMPUTED_VALUE"""),"Vanilla")</f>
        <v>Vanilla</v>
      </c>
      <c r="O728" s="9" t="str">
        <f>IFERROR(__xludf.DUMMYFUNCTION("""COMPUTED_VALUE"""),"Carton")</f>
        <v>Carton</v>
      </c>
      <c r="P728" s="9">
        <f>IFERROR(__xludf.DUMMYFUNCTION("""COMPUTED_VALUE"""),110.0)</f>
        <v>110</v>
      </c>
      <c r="Q728" s="9" t="str">
        <f>IFERROR(__xludf.DUMMYFUNCTION("""COMPUTED_VALUE"""),"Q4'22")</f>
        <v>Q4'22</v>
      </c>
      <c r="R728" s="9">
        <f>IFERROR(__xludf.DUMMYFUNCTION("""COMPUTED_VALUE"""),2.6598194356683087)</f>
        <v>2.659819436</v>
      </c>
    </row>
    <row r="729" ht="14.25" customHeight="1">
      <c r="A729" s="3" t="s">
        <v>25</v>
      </c>
      <c r="B729" s="3" t="s">
        <v>32</v>
      </c>
      <c r="C729" s="3" t="s">
        <v>46</v>
      </c>
      <c r="D729" s="3" t="s">
        <v>34</v>
      </c>
      <c r="E729" s="3" t="s">
        <v>14</v>
      </c>
      <c r="F729" s="3">
        <v>110.0</v>
      </c>
      <c r="G729" s="4" t="s">
        <v>19</v>
      </c>
      <c r="H729" s="3">
        <v>6.495328802845418</v>
      </c>
      <c r="K729" s="9" t="str">
        <f>IFERROR(__xludf.DUMMYFUNCTION("""COMPUTED_VALUE"""),"TT Off South")</f>
        <v>TT Off South</v>
      </c>
      <c r="L729" s="9" t="str">
        <f>IFERROR(__xludf.DUMMYFUNCTION("""COMPUTED_VALUE"""),"Farmy")</f>
        <v>Farmy</v>
      </c>
      <c r="M729" s="9" t="str">
        <f>IFERROR(__xludf.DUMMYFUNCTION("""COMPUTED_VALUE"""),"Pro Plus ")</f>
        <v>Pro Plus </v>
      </c>
      <c r="N729" s="9" t="str">
        <f>IFERROR(__xludf.DUMMYFUNCTION("""COMPUTED_VALUE"""),"Vanilla")</f>
        <v>Vanilla</v>
      </c>
      <c r="O729" s="9" t="str">
        <f>IFERROR(__xludf.DUMMYFUNCTION("""COMPUTED_VALUE"""),"Carton")</f>
        <v>Carton</v>
      </c>
      <c r="P729" s="9">
        <f>IFERROR(__xludf.DUMMYFUNCTION("""COMPUTED_VALUE"""),110.0)</f>
        <v>110</v>
      </c>
      <c r="Q729" s="9" t="str">
        <f>IFERROR(__xludf.DUMMYFUNCTION("""COMPUTED_VALUE"""),"Q1'23")</f>
        <v>Q1'23</v>
      </c>
      <c r="R729" s="9">
        <f>IFERROR(__xludf.DUMMYFUNCTION("""COMPUTED_VALUE"""),2.652983276262332)</f>
        <v>2.652983276</v>
      </c>
    </row>
    <row r="730" ht="14.25" customHeight="1">
      <c r="A730" s="3" t="s">
        <v>25</v>
      </c>
      <c r="B730" s="3" t="s">
        <v>32</v>
      </c>
      <c r="C730" s="3" t="s">
        <v>46</v>
      </c>
      <c r="D730" s="3" t="s">
        <v>34</v>
      </c>
      <c r="E730" s="3" t="s">
        <v>14</v>
      </c>
      <c r="F730" s="3">
        <v>110.0</v>
      </c>
      <c r="G730" s="4" t="s">
        <v>20</v>
      </c>
      <c r="H730" s="3">
        <v>6.513903497379202</v>
      </c>
      <c r="K730" s="9" t="str">
        <f>IFERROR(__xludf.DUMMYFUNCTION("""COMPUTED_VALUE"""),"TT Off South")</f>
        <v>TT Off South</v>
      </c>
      <c r="L730" s="9" t="str">
        <f>IFERROR(__xludf.DUMMYFUNCTION("""COMPUTED_VALUE"""),"Farmy")</f>
        <v>Farmy</v>
      </c>
      <c r="M730" s="9" t="str">
        <f>IFERROR(__xludf.DUMMYFUNCTION("""COMPUTED_VALUE"""),"Pro Plus ")</f>
        <v>Pro Plus </v>
      </c>
      <c r="N730" s="9" t="str">
        <f>IFERROR(__xludf.DUMMYFUNCTION("""COMPUTED_VALUE"""),"Vanilla")</f>
        <v>Vanilla</v>
      </c>
      <c r="O730" s="9" t="str">
        <f>IFERROR(__xludf.DUMMYFUNCTION("""COMPUTED_VALUE"""),"Carton")</f>
        <v>Carton</v>
      </c>
      <c r="P730" s="9">
        <f>IFERROR(__xludf.DUMMYFUNCTION("""COMPUTED_VALUE"""),110.0)</f>
        <v>110</v>
      </c>
      <c r="Q730" s="9" t="str">
        <f>IFERROR(__xludf.DUMMYFUNCTION("""COMPUTED_VALUE"""),"Q2'23")</f>
        <v>Q2'23</v>
      </c>
      <c r="R730" s="9">
        <f>IFERROR(__xludf.DUMMYFUNCTION("""COMPUTED_VALUE"""),2.492241965168288)</f>
        <v>2.492241965</v>
      </c>
    </row>
    <row r="731" ht="14.25" customHeight="1">
      <c r="A731" s="3" t="s">
        <v>25</v>
      </c>
      <c r="B731" s="3" t="s">
        <v>32</v>
      </c>
      <c r="C731" s="3" t="s">
        <v>46</v>
      </c>
      <c r="D731" s="3" t="s">
        <v>34</v>
      </c>
      <c r="E731" s="3" t="s">
        <v>14</v>
      </c>
      <c r="F731" s="3">
        <v>110.0</v>
      </c>
      <c r="G731" s="4" t="s">
        <v>21</v>
      </c>
      <c r="H731" s="3">
        <v>6.454267371318391</v>
      </c>
      <c r="K731" s="9" t="str">
        <f>IFERROR(__xludf.DUMMYFUNCTION("""COMPUTED_VALUE"""),"TT Off South")</f>
        <v>TT Off South</v>
      </c>
      <c r="L731" s="9" t="str">
        <f>IFERROR(__xludf.DUMMYFUNCTION("""COMPUTED_VALUE"""),"Farmy")</f>
        <v>Farmy</v>
      </c>
      <c r="M731" s="9" t="str">
        <f>IFERROR(__xludf.DUMMYFUNCTION("""COMPUTED_VALUE"""),"Pro Plus ")</f>
        <v>Pro Plus </v>
      </c>
      <c r="N731" s="9" t="str">
        <f>IFERROR(__xludf.DUMMYFUNCTION("""COMPUTED_VALUE"""),"Vanilla")</f>
        <v>Vanilla</v>
      </c>
      <c r="O731" s="9" t="str">
        <f>IFERROR(__xludf.DUMMYFUNCTION("""COMPUTED_VALUE"""),"Carton")</f>
        <v>Carton</v>
      </c>
      <c r="P731" s="9">
        <f>IFERROR(__xludf.DUMMYFUNCTION("""COMPUTED_VALUE"""),110.0)</f>
        <v>110</v>
      </c>
      <c r="Q731" s="9" t="str">
        <f>IFERROR(__xludf.DUMMYFUNCTION("""COMPUTED_VALUE"""),"Q3'23")</f>
        <v>Q3'23</v>
      </c>
      <c r="R731" s="9">
        <f>IFERROR(__xludf.DUMMYFUNCTION("""COMPUTED_VALUE"""),2.5443846233022858)</f>
        <v>2.544384623</v>
      </c>
    </row>
    <row r="732" ht="14.25" customHeight="1">
      <c r="A732" s="3" t="s">
        <v>25</v>
      </c>
      <c r="B732" s="3" t="s">
        <v>32</v>
      </c>
      <c r="C732" s="3" t="s">
        <v>46</v>
      </c>
      <c r="D732" s="3" t="s">
        <v>34</v>
      </c>
      <c r="E732" s="3" t="s">
        <v>14</v>
      </c>
      <c r="F732" s="3">
        <v>110.0</v>
      </c>
      <c r="G732" s="4" t="s">
        <v>22</v>
      </c>
      <c r="H732" s="3">
        <v>5.62994804036495</v>
      </c>
      <c r="K732" s="9" t="str">
        <f>IFERROR(__xludf.DUMMYFUNCTION("""COMPUTED_VALUE"""),"TT Off South")</f>
        <v>TT Off South</v>
      </c>
      <c r="L732" s="9" t="str">
        <f>IFERROR(__xludf.DUMMYFUNCTION("""COMPUTED_VALUE"""),"Farmy")</f>
        <v>Farmy</v>
      </c>
      <c r="M732" s="9" t="str">
        <f>IFERROR(__xludf.DUMMYFUNCTION("""COMPUTED_VALUE"""),"Pro Plus ")</f>
        <v>Pro Plus </v>
      </c>
      <c r="N732" s="9" t="str">
        <f>IFERROR(__xludf.DUMMYFUNCTION("""COMPUTED_VALUE"""),"Vanilla")</f>
        <v>Vanilla</v>
      </c>
      <c r="O732" s="9" t="str">
        <f>IFERROR(__xludf.DUMMYFUNCTION("""COMPUTED_VALUE"""),"Carton")</f>
        <v>Carton</v>
      </c>
      <c r="P732" s="9">
        <f>IFERROR(__xludf.DUMMYFUNCTION("""COMPUTED_VALUE"""),110.0)</f>
        <v>110</v>
      </c>
      <c r="Q732" s="9" t="str">
        <f>IFERROR(__xludf.DUMMYFUNCTION("""COMPUTED_VALUE"""),"Q4'23")</f>
        <v>Q4'23</v>
      </c>
      <c r="R732" s="9">
        <f>IFERROR(__xludf.DUMMYFUNCTION("""COMPUTED_VALUE"""),2.340726395960246)</f>
        <v>2.340726396</v>
      </c>
    </row>
    <row r="733" ht="14.25" customHeight="1">
      <c r="A733" s="3" t="s">
        <v>25</v>
      </c>
      <c r="B733" s="3" t="s">
        <v>32</v>
      </c>
      <c r="C733" s="3" t="s">
        <v>46</v>
      </c>
      <c r="D733" s="3" t="s">
        <v>34</v>
      </c>
      <c r="E733" s="3" t="s">
        <v>14</v>
      </c>
      <c r="F733" s="3">
        <v>180.0</v>
      </c>
      <c r="G733" s="4" t="s">
        <v>15</v>
      </c>
      <c r="H733" s="3">
        <v>1.9384376435276554</v>
      </c>
      <c r="K733" s="9" t="str">
        <f>IFERROR(__xludf.DUMMYFUNCTION("""COMPUTED_VALUE"""),"TT Off South")</f>
        <v>TT Off South</v>
      </c>
      <c r="L733" s="9" t="str">
        <f>IFERROR(__xludf.DUMMYFUNCTION("""COMPUTED_VALUE"""),"Farmy")</f>
        <v>Farmy</v>
      </c>
      <c r="M733" s="9" t="str">
        <f>IFERROR(__xludf.DUMMYFUNCTION("""COMPUTED_VALUE"""),"Pro Plus ")</f>
        <v>Pro Plus </v>
      </c>
      <c r="N733" s="9" t="str">
        <f>IFERROR(__xludf.DUMMYFUNCTION("""COMPUTED_VALUE"""),"Vanilla")</f>
        <v>Vanilla</v>
      </c>
      <c r="O733" s="9" t="str">
        <f>IFERROR(__xludf.DUMMYFUNCTION("""COMPUTED_VALUE"""),"Carton")</f>
        <v>Carton</v>
      </c>
      <c r="P733" s="9">
        <f>IFERROR(__xludf.DUMMYFUNCTION("""COMPUTED_VALUE"""),180.0)</f>
        <v>180</v>
      </c>
      <c r="Q733" s="9" t="str">
        <f>IFERROR(__xludf.DUMMYFUNCTION("""COMPUTED_VALUE"""),"Q1'22")</f>
        <v>Q1'22</v>
      </c>
      <c r="R733" s="9">
        <f>IFERROR(__xludf.DUMMYFUNCTION("""COMPUTED_VALUE"""),3.5323986647066827)</f>
        <v>3.532398665</v>
      </c>
    </row>
    <row r="734" ht="14.25" customHeight="1">
      <c r="A734" s="3" t="s">
        <v>25</v>
      </c>
      <c r="B734" s="3" t="s">
        <v>32</v>
      </c>
      <c r="C734" s="3" t="s">
        <v>46</v>
      </c>
      <c r="D734" s="3" t="s">
        <v>34</v>
      </c>
      <c r="E734" s="3" t="s">
        <v>14</v>
      </c>
      <c r="F734" s="3">
        <v>180.0</v>
      </c>
      <c r="G734" s="4" t="s">
        <v>16</v>
      </c>
      <c r="H734" s="3">
        <v>1.3730132337013854</v>
      </c>
      <c r="K734" s="9" t="str">
        <f>IFERROR(__xludf.DUMMYFUNCTION("""COMPUTED_VALUE"""),"TT Off South")</f>
        <v>TT Off South</v>
      </c>
      <c r="L734" s="9" t="str">
        <f>IFERROR(__xludf.DUMMYFUNCTION("""COMPUTED_VALUE"""),"Farmy")</f>
        <v>Farmy</v>
      </c>
      <c r="M734" s="9" t="str">
        <f>IFERROR(__xludf.DUMMYFUNCTION("""COMPUTED_VALUE"""),"Pro Plus ")</f>
        <v>Pro Plus </v>
      </c>
      <c r="N734" s="9" t="str">
        <f>IFERROR(__xludf.DUMMYFUNCTION("""COMPUTED_VALUE"""),"Vanilla")</f>
        <v>Vanilla</v>
      </c>
      <c r="O734" s="9" t="str">
        <f>IFERROR(__xludf.DUMMYFUNCTION("""COMPUTED_VALUE"""),"Carton")</f>
        <v>Carton</v>
      </c>
      <c r="P734" s="9">
        <f>IFERROR(__xludf.DUMMYFUNCTION("""COMPUTED_VALUE"""),180.0)</f>
        <v>180</v>
      </c>
      <c r="Q734" s="9" t="str">
        <f>IFERROR(__xludf.DUMMYFUNCTION("""COMPUTED_VALUE"""),"Q2'22")</f>
        <v>Q2'22</v>
      </c>
      <c r="R734" s="9">
        <f>IFERROR(__xludf.DUMMYFUNCTION("""COMPUTED_VALUE"""),3.6971065298452648)</f>
        <v>3.69710653</v>
      </c>
    </row>
    <row r="735" ht="14.25" customHeight="1">
      <c r="A735" s="3" t="s">
        <v>25</v>
      </c>
      <c r="B735" s="3" t="s">
        <v>32</v>
      </c>
      <c r="C735" s="3" t="s">
        <v>46</v>
      </c>
      <c r="D735" s="3" t="s">
        <v>34</v>
      </c>
      <c r="E735" s="3" t="s">
        <v>14</v>
      </c>
      <c r="F735" s="3">
        <v>180.0</v>
      </c>
      <c r="G735" s="4" t="s">
        <v>17</v>
      </c>
      <c r="H735" s="3">
        <v>1.1925212372749092</v>
      </c>
      <c r="K735" s="9" t="str">
        <f>IFERROR(__xludf.DUMMYFUNCTION("""COMPUTED_VALUE"""),"TT Off South")</f>
        <v>TT Off South</v>
      </c>
      <c r="L735" s="9" t="str">
        <f>IFERROR(__xludf.DUMMYFUNCTION("""COMPUTED_VALUE"""),"Farmy")</f>
        <v>Farmy</v>
      </c>
      <c r="M735" s="9" t="str">
        <f>IFERROR(__xludf.DUMMYFUNCTION("""COMPUTED_VALUE"""),"Pro Plus ")</f>
        <v>Pro Plus </v>
      </c>
      <c r="N735" s="9" t="str">
        <f>IFERROR(__xludf.DUMMYFUNCTION("""COMPUTED_VALUE"""),"Vanilla")</f>
        <v>Vanilla</v>
      </c>
      <c r="O735" s="9" t="str">
        <f>IFERROR(__xludf.DUMMYFUNCTION("""COMPUTED_VALUE"""),"Carton")</f>
        <v>Carton</v>
      </c>
      <c r="P735" s="9">
        <f>IFERROR(__xludf.DUMMYFUNCTION("""COMPUTED_VALUE"""),180.0)</f>
        <v>180</v>
      </c>
      <c r="Q735" s="9" t="str">
        <f>IFERROR(__xludf.DUMMYFUNCTION("""COMPUTED_VALUE"""),"Q3'22")</f>
        <v>Q3'22</v>
      </c>
      <c r="R735" s="9">
        <f>IFERROR(__xludf.DUMMYFUNCTION("""COMPUTED_VALUE"""),3.689249411048189)</f>
        <v>3.689249411</v>
      </c>
    </row>
    <row r="736" ht="14.25" customHeight="1">
      <c r="A736" s="3" t="s">
        <v>25</v>
      </c>
      <c r="B736" s="3" t="s">
        <v>32</v>
      </c>
      <c r="C736" s="3" t="s">
        <v>46</v>
      </c>
      <c r="D736" s="3" t="s">
        <v>34</v>
      </c>
      <c r="E736" s="3" t="s">
        <v>14</v>
      </c>
      <c r="F736" s="3">
        <v>180.0</v>
      </c>
      <c r="G736" s="4" t="s">
        <v>18</v>
      </c>
      <c r="H736" s="3">
        <v>1.2377252037711914</v>
      </c>
      <c r="K736" s="9" t="str">
        <f>IFERROR(__xludf.DUMMYFUNCTION("""COMPUTED_VALUE"""),"TT Off South")</f>
        <v>TT Off South</v>
      </c>
      <c r="L736" s="9" t="str">
        <f>IFERROR(__xludf.DUMMYFUNCTION("""COMPUTED_VALUE"""),"Farmy")</f>
        <v>Farmy</v>
      </c>
      <c r="M736" s="9" t="str">
        <f>IFERROR(__xludf.DUMMYFUNCTION("""COMPUTED_VALUE"""),"Pro Plus ")</f>
        <v>Pro Plus </v>
      </c>
      <c r="N736" s="9" t="str">
        <f>IFERROR(__xludf.DUMMYFUNCTION("""COMPUTED_VALUE"""),"Vanilla")</f>
        <v>Vanilla</v>
      </c>
      <c r="O736" s="9" t="str">
        <f>IFERROR(__xludf.DUMMYFUNCTION("""COMPUTED_VALUE"""),"Carton")</f>
        <v>Carton</v>
      </c>
      <c r="P736" s="9">
        <f>IFERROR(__xludf.DUMMYFUNCTION("""COMPUTED_VALUE"""),180.0)</f>
        <v>180</v>
      </c>
      <c r="Q736" s="9" t="str">
        <f>IFERROR(__xludf.DUMMYFUNCTION("""COMPUTED_VALUE"""),"Q4'22")</f>
        <v>Q4'22</v>
      </c>
      <c r="R736" s="9">
        <f>IFERROR(__xludf.DUMMYFUNCTION("""COMPUTED_VALUE"""),3.519342160361726)</f>
        <v>3.51934216</v>
      </c>
    </row>
    <row r="737" ht="14.25" customHeight="1">
      <c r="A737" s="3" t="s">
        <v>25</v>
      </c>
      <c r="B737" s="3" t="s">
        <v>32</v>
      </c>
      <c r="C737" s="3" t="s">
        <v>46</v>
      </c>
      <c r="D737" s="3" t="s">
        <v>34</v>
      </c>
      <c r="E737" s="3" t="s">
        <v>14</v>
      </c>
      <c r="F737" s="3">
        <v>180.0</v>
      </c>
      <c r="G737" s="4" t="s">
        <v>19</v>
      </c>
      <c r="H737" s="3">
        <v>1.5831028676672065</v>
      </c>
      <c r="K737" s="9" t="str">
        <f>IFERROR(__xludf.DUMMYFUNCTION("""COMPUTED_VALUE"""),"TT Off South")</f>
        <v>TT Off South</v>
      </c>
      <c r="L737" s="9" t="str">
        <f>IFERROR(__xludf.DUMMYFUNCTION("""COMPUTED_VALUE"""),"Farmy")</f>
        <v>Farmy</v>
      </c>
      <c r="M737" s="9" t="str">
        <f>IFERROR(__xludf.DUMMYFUNCTION("""COMPUTED_VALUE"""),"Pro Plus ")</f>
        <v>Pro Plus </v>
      </c>
      <c r="N737" s="9" t="str">
        <f>IFERROR(__xludf.DUMMYFUNCTION("""COMPUTED_VALUE"""),"Vanilla")</f>
        <v>Vanilla</v>
      </c>
      <c r="O737" s="9" t="str">
        <f>IFERROR(__xludf.DUMMYFUNCTION("""COMPUTED_VALUE"""),"Carton")</f>
        <v>Carton</v>
      </c>
      <c r="P737" s="9">
        <f>IFERROR(__xludf.DUMMYFUNCTION("""COMPUTED_VALUE"""),180.0)</f>
        <v>180</v>
      </c>
      <c r="Q737" s="9" t="str">
        <f>IFERROR(__xludf.DUMMYFUNCTION("""COMPUTED_VALUE"""),"Q1'23")</f>
        <v>Q1'23</v>
      </c>
      <c r="R737" s="9">
        <f>IFERROR(__xludf.DUMMYFUNCTION("""COMPUTED_VALUE"""),3.819113689001055)</f>
        <v>3.819113689</v>
      </c>
    </row>
    <row r="738" ht="14.25" customHeight="1">
      <c r="A738" s="3" t="s">
        <v>25</v>
      </c>
      <c r="B738" s="3" t="s">
        <v>32</v>
      </c>
      <c r="C738" s="3" t="s">
        <v>46</v>
      </c>
      <c r="D738" s="3" t="s">
        <v>34</v>
      </c>
      <c r="E738" s="3" t="s">
        <v>14</v>
      </c>
      <c r="F738" s="3">
        <v>180.0</v>
      </c>
      <c r="G738" s="4" t="s">
        <v>20</v>
      </c>
      <c r="H738" s="3">
        <v>1.299371719724301</v>
      </c>
      <c r="K738" s="9" t="str">
        <f>IFERROR(__xludf.DUMMYFUNCTION("""COMPUTED_VALUE"""),"TT Off South")</f>
        <v>TT Off South</v>
      </c>
      <c r="L738" s="9" t="str">
        <f>IFERROR(__xludf.DUMMYFUNCTION("""COMPUTED_VALUE"""),"Farmy")</f>
        <v>Farmy</v>
      </c>
      <c r="M738" s="9" t="str">
        <f>IFERROR(__xludf.DUMMYFUNCTION("""COMPUTED_VALUE"""),"Pro Plus ")</f>
        <v>Pro Plus </v>
      </c>
      <c r="N738" s="9" t="str">
        <f>IFERROR(__xludf.DUMMYFUNCTION("""COMPUTED_VALUE"""),"Vanilla")</f>
        <v>Vanilla</v>
      </c>
      <c r="O738" s="9" t="str">
        <f>IFERROR(__xludf.DUMMYFUNCTION("""COMPUTED_VALUE"""),"Carton")</f>
        <v>Carton</v>
      </c>
      <c r="P738" s="9">
        <f>IFERROR(__xludf.DUMMYFUNCTION("""COMPUTED_VALUE"""),180.0)</f>
        <v>180</v>
      </c>
      <c r="Q738" s="9" t="str">
        <f>IFERROR(__xludf.DUMMYFUNCTION("""COMPUTED_VALUE"""),"Q2'23")</f>
        <v>Q2'23</v>
      </c>
      <c r="R738" s="9">
        <f>IFERROR(__xludf.DUMMYFUNCTION("""COMPUTED_VALUE"""),4.074114135177216)</f>
        <v>4.074114135</v>
      </c>
    </row>
    <row r="739" ht="14.25" customHeight="1">
      <c r="A739" s="3" t="s">
        <v>25</v>
      </c>
      <c r="B739" s="3" t="s">
        <v>32</v>
      </c>
      <c r="C739" s="3" t="s">
        <v>46</v>
      </c>
      <c r="D739" s="3" t="s">
        <v>34</v>
      </c>
      <c r="E739" s="3" t="s">
        <v>14</v>
      </c>
      <c r="F739" s="3">
        <v>180.0</v>
      </c>
      <c r="G739" s="4" t="s">
        <v>21</v>
      </c>
      <c r="H739" s="3">
        <v>1.143919658791117</v>
      </c>
      <c r="K739" s="9" t="str">
        <f>IFERROR(__xludf.DUMMYFUNCTION("""COMPUTED_VALUE"""),"TT Off South")</f>
        <v>TT Off South</v>
      </c>
      <c r="L739" s="9" t="str">
        <f>IFERROR(__xludf.DUMMYFUNCTION("""COMPUTED_VALUE"""),"Farmy")</f>
        <v>Farmy</v>
      </c>
      <c r="M739" s="9" t="str">
        <f>IFERROR(__xludf.DUMMYFUNCTION("""COMPUTED_VALUE"""),"Pro Plus ")</f>
        <v>Pro Plus </v>
      </c>
      <c r="N739" s="9" t="str">
        <f>IFERROR(__xludf.DUMMYFUNCTION("""COMPUTED_VALUE"""),"Vanilla")</f>
        <v>Vanilla</v>
      </c>
      <c r="O739" s="9" t="str">
        <f>IFERROR(__xludf.DUMMYFUNCTION("""COMPUTED_VALUE"""),"Carton")</f>
        <v>Carton</v>
      </c>
      <c r="P739" s="9">
        <f>IFERROR(__xludf.DUMMYFUNCTION("""COMPUTED_VALUE"""),180.0)</f>
        <v>180</v>
      </c>
      <c r="Q739" s="9" t="str">
        <f>IFERROR(__xludf.DUMMYFUNCTION("""COMPUTED_VALUE"""),"Q3'23")</f>
        <v>Q3'23</v>
      </c>
      <c r="R739" s="9">
        <f>IFERROR(__xludf.DUMMYFUNCTION("""COMPUTED_VALUE"""),4.165716943792285)</f>
        <v>4.165716944</v>
      </c>
    </row>
    <row r="740" ht="14.25" customHeight="1">
      <c r="A740" s="3" t="s">
        <v>25</v>
      </c>
      <c r="B740" s="3" t="s">
        <v>32</v>
      </c>
      <c r="C740" s="3" t="s">
        <v>46</v>
      </c>
      <c r="D740" s="3" t="s">
        <v>34</v>
      </c>
      <c r="E740" s="3" t="s">
        <v>14</v>
      </c>
      <c r="F740" s="3">
        <v>180.0</v>
      </c>
      <c r="G740" s="4" t="s">
        <v>22</v>
      </c>
      <c r="H740" s="3">
        <v>0.9274336275044504</v>
      </c>
      <c r="K740" s="9" t="str">
        <f>IFERROR(__xludf.DUMMYFUNCTION("""COMPUTED_VALUE"""),"TT Off South")</f>
        <v>TT Off South</v>
      </c>
      <c r="L740" s="9" t="str">
        <f>IFERROR(__xludf.DUMMYFUNCTION("""COMPUTED_VALUE"""),"Farmy")</f>
        <v>Farmy</v>
      </c>
      <c r="M740" s="9" t="str">
        <f>IFERROR(__xludf.DUMMYFUNCTION("""COMPUTED_VALUE"""),"Pro Plus ")</f>
        <v>Pro Plus </v>
      </c>
      <c r="N740" s="9" t="str">
        <f>IFERROR(__xludf.DUMMYFUNCTION("""COMPUTED_VALUE"""),"Vanilla")</f>
        <v>Vanilla</v>
      </c>
      <c r="O740" s="9" t="str">
        <f>IFERROR(__xludf.DUMMYFUNCTION("""COMPUTED_VALUE"""),"Carton")</f>
        <v>Carton</v>
      </c>
      <c r="P740" s="9">
        <f>IFERROR(__xludf.DUMMYFUNCTION("""COMPUTED_VALUE"""),180.0)</f>
        <v>180</v>
      </c>
      <c r="Q740" s="9" t="str">
        <f>IFERROR(__xludf.DUMMYFUNCTION("""COMPUTED_VALUE"""),"Q4'23")</f>
        <v>Q4'23</v>
      </c>
      <c r="R740" s="9">
        <f>IFERROR(__xludf.DUMMYFUNCTION("""COMPUTED_VALUE"""),3.513293793318045)</f>
        <v>3.513293793</v>
      </c>
    </row>
    <row r="741" ht="14.25" customHeight="1">
      <c r="A741" s="3" t="s">
        <v>25</v>
      </c>
      <c r="B741" s="3" t="s">
        <v>32</v>
      </c>
      <c r="C741" s="3" t="s">
        <v>35</v>
      </c>
      <c r="D741" s="3" t="s">
        <v>30</v>
      </c>
      <c r="E741" s="3" t="s">
        <v>29</v>
      </c>
      <c r="F741" s="3">
        <v>220.0</v>
      </c>
      <c r="G741" s="4" t="s">
        <v>15</v>
      </c>
      <c r="H741" s="3">
        <v>2.588050847881387</v>
      </c>
      <c r="K741" s="9" t="str">
        <f>IFERROR(__xludf.DUMMYFUNCTION("""COMPUTED_VALUE"""),"TT Off South")</f>
        <v>TT Off South</v>
      </c>
      <c r="L741" s="9" t="str">
        <f>IFERROR(__xludf.DUMMYFUNCTION("""COMPUTED_VALUE"""),"Farmy")</f>
        <v>Farmy</v>
      </c>
      <c r="M741" s="9" t="str">
        <f>IFERROR(__xludf.DUMMYFUNCTION("""COMPUTED_VALUE"""),"Pro 100% Fresh")</f>
        <v>Pro 100% Fresh</v>
      </c>
      <c r="N741" s="9" t="str">
        <f>IFERROR(__xludf.DUMMYFUNCTION("""COMPUTED_VALUE"""),"Plain")</f>
        <v>Plain</v>
      </c>
      <c r="O741" s="9" t="str">
        <f>IFERROR(__xludf.DUMMYFUNCTION("""COMPUTED_VALUE"""),"TFA")</f>
        <v>TFA</v>
      </c>
      <c r="P741" s="9">
        <f>IFERROR(__xludf.DUMMYFUNCTION("""COMPUTED_VALUE"""),220.0)</f>
        <v>220</v>
      </c>
      <c r="Q741" s="9" t="str">
        <f>IFERROR(__xludf.DUMMYFUNCTION("""COMPUTED_VALUE"""),"Q1'22")</f>
        <v>Q1'22</v>
      </c>
      <c r="R741" s="9">
        <f>IFERROR(__xludf.DUMMYFUNCTION("""COMPUTED_VALUE"""),1.9671276798252175)</f>
        <v>1.96712768</v>
      </c>
    </row>
    <row r="742" ht="14.25" customHeight="1">
      <c r="A742" s="3" t="s">
        <v>25</v>
      </c>
      <c r="B742" s="3" t="s">
        <v>32</v>
      </c>
      <c r="C742" s="3" t="s">
        <v>35</v>
      </c>
      <c r="D742" s="3" t="s">
        <v>30</v>
      </c>
      <c r="E742" s="3" t="s">
        <v>29</v>
      </c>
      <c r="F742" s="3">
        <v>220.0</v>
      </c>
      <c r="G742" s="4" t="s">
        <v>16</v>
      </c>
      <c r="H742" s="3">
        <v>2.733373375934343</v>
      </c>
      <c r="K742" s="9" t="str">
        <f>IFERROR(__xludf.DUMMYFUNCTION("""COMPUTED_VALUE"""),"TT Off South")</f>
        <v>TT Off South</v>
      </c>
      <c r="L742" s="9" t="str">
        <f>IFERROR(__xludf.DUMMYFUNCTION("""COMPUTED_VALUE"""),"Farmy")</f>
        <v>Farmy</v>
      </c>
      <c r="M742" s="9" t="str">
        <f>IFERROR(__xludf.DUMMYFUNCTION("""COMPUTED_VALUE"""),"Pro 100% Fresh")</f>
        <v>Pro 100% Fresh</v>
      </c>
      <c r="N742" s="9" t="str">
        <f>IFERROR(__xludf.DUMMYFUNCTION("""COMPUTED_VALUE"""),"Plain")</f>
        <v>Plain</v>
      </c>
      <c r="O742" s="9" t="str">
        <f>IFERROR(__xludf.DUMMYFUNCTION("""COMPUTED_VALUE"""),"TFA")</f>
        <v>TFA</v>
      </c>
      <c r="P742" s="9">
        <f>IFERROR(__xludf.DUMMYFUNCTION("""COMPUTED_VALUE"""),220.0)</f>
        <v>220</v>
      </c>
      <c r="Q742" s="9" t="str">
        <f>IFERROR(__xludf.DUMMYFUNCTION("""COMPUTED_VALUE"""),"Q2'22")</f>
        <v>Q2'22</v>
      </c>
      <c r="R742" s="9">
        <f>IFERROR(__xludf.DUMMYFUNCTION("""COMPUTED_VALUE"""),1.6789488008009772)</f>
        <v>1.678948801</v>
      </c>
    </row>
    <row r="743" ht="14.25" customHeight="1">
      <c r="A743" s="3" t="s">
        <v>25</v>
      </c>
      <c r="B743" s="3" t="s">
        <v>32</v>
      </c>
      <c r="C743" s="3" t="s">
        <v>35</v>
      </c>
      <c r="D743" s="3" t="s">
        <v>30</v>
      </c>
      <c r="E743" s="3" t="s">
        <v>29</v>
      </c>
      <c r="F743" s="3">
        <v>220.0</v>
      </c>
      <c r="G743" s="4" t="s">
        <v>17</v>
      </c>
      <c r="H743" s="3">
        <v>2.8827576888085007</v>
      </c>
      <c r="K743" s="9" t="str">
        <f>IFERROR(__xludf.DUMMYFUNCTION("""COMPUTED_VALUE"""),"TT Off South")</f>
        <v>TT Off South</v>
      </c>
      <c r="L743" s="9" t="str">
        <f>IFERROR(__xludf.DUMMYFUNCTION("""COMPUTED_VALUE"""),"Farmy")</f>
        <v>Farmy</v>
      </c>
      <c r="M743" s="9" t="str">
        <f>IFERROR(__xludf.DUMMYFUNCTION("""COMPUTED_VALUE"""),"Pro 100% Fresh")</f>
        <v>Pro 100% Fresh</v>
      </c>
      <c r="N743" s="9" t="str">
        <f>IFERROR(__xludf.DUMMYFUNCTION("""COMPUTED_VALUE"""),"Plain")</f>
        <v>Plain</v>
      </c>
      <c r="O743" s="9" t="str">
        <f>IFERROR(__xludf.DUMMYFUNCTION("""COMPUTED_VALUE"""),"TFA")</f>
        <v>TFA</v>
      </c>
      <c r="P743" s="9">
        <f>IFERROR(__xludf.DUMMYFUNCTION("""COMPUTED_VALUE"""),220.0)</f>
        <v>220</v>
      </c>
      <c r="Q743" s="9" t="str">
        <f>IFERROR(__xludf.DUMMYFUNCTION("""COMPUTED_VALUE"""),"Q3'22")</f>
        <v>Q3'22</v>
      </c>
      <c r="R743" s="9">
        <f>IFERROR(__xludf.DUMMYFUNCTION("""COMPUTED_VALUE"""),2.1067821628807013)</f>
        <v>2.106782163</v>
      </c>
    </row>
    <row r="744" ht="14.25" customHeight="1">
      <c r="A744" s="3" t="s">
        <v>25</v>
      </c>
      <c r="B744" s="3" t="s">
        <v>32</v>
      </c>
      <c r="C744" s="3" t="s">
        <v>35</v>
      </c>
      <c r="D744" s="3" t="s">
        <v>30</v>
      </c>
      <c r="E744" s="3" t="s">
        <v>29</v>
      </c>
      <c r="F744" s="3">
        <v>220.0</v>
      </c>
      <c r="G744" s="4" t="s">
        <v>18</v>
      </c>
      <c r="H744" s="3">
        <v>2.5837130572834646</v>
      </c>
      <c r="K744" s="9" t="str">
        <f>IFERROR(__xludf.DUMMYFUNCTION("""COMPUTED_VALUE"""),"TT Off South")</f>
        <v>TT Off South</v>
      </c>
      <c r="L744" s="9" t="str">
        <f>IFERROR(__xludf.DUMMYFUNCTION("""COMPUTED_VALUE"""),"Farmy")</f>
        <v>Farmy</v>
      </c>
      <c r="M744" s="9" t="str">
        <f>IFERROR(__xludf.DUMMYFUNCTION("""COMPUTED_VALUE"""),"Pro 100% Fresh")</f>
        <v>Pro 100% Fresh</v>
      </c>
      <c r="N744" s="9" t="str">
        <f>IFERROR(__xludf.DUMMYFUNCTION("""COMPUTED_VALUE"""),"Plain")</f>
        <v>Plain</v>
      </c>
      <c r="O744" s="9" t="str">
        <f>IFERROR(__xludf.DUMMYFUNCTION("""COMPUTED_VALUE"""),"TFA")</f>
        <v>TFA</v>
      </c>
      <c r="P744" s="9">
        <f>IFERROR(__xludf.DUMMYFUNCTION("""COMPUTED_VALUE"""),220.0)</f>
        <v>220</v>
      </c>
      <c r="Q744" s="9" t="str">
        <f>IFERROR(__xludf.DUMMYFUNCTION("""COMPUTED_VALUE"""),"Q4'22")</f>
        <v>Q4'22</v>
      </c>
      <c r="R744" s="9">
        <f>IFERROR(__xludf.DUMMYFUNCTION("""COMPUTED_VALUE"""),2.105413315400676)</f>
        <v>2.105413315</v>
      </c>
    </row>
    <row r="745" ht="14.25" customHeight="1">
      <c r="A745" s="3" t="s">
        <v>25</v>
      </c>
      <c r="B745" s="3" t="s">
        <v>32</v>
      </c>
      <c r="C745" s="3" t="s">
        <v>35</v>
      </c>
      <c r="D745" s="3" t="s">
        <v>30</v>
      </c>
      <c r="E745" s="3" t="s">
        <v>29</v>
      </c>
      <c r="F745" s="3">
        <v>220.0</v>
      </c>
      <c r="G745" s="4" t="s">
        <v>19</v>
      </c>
      <c r="H745" s="3">
        <v>3.1788997722506465</v>
      </c>
      <c r="K745" s="9" t="str">
        <f>IFERROR(__xludf.DUMMYFUNCTION("""COMPUTED_VALUE"""),"TT Off South")</f>
        <v>TT Off South</v>
      </c>
      <c r="L745" s="9" t="str">
        <f>IFERROR(__xludf.DUMMYFUNCTION("""COMPUTED_VALUE"""),"Farmy")</f>
        <v>Farmy</v>
      </c>
      <c r="M745" s="9" t="str">
        <f>IFERROR(__xludf.DUMMYFUNCTION("""COMPUTED_VALUE"""),"Pro 100% Fresh")</f>
        <v>Pro 100% Fresh</v>
      </c>
      <c r="N745" s="9" t="str">
        <f>IFERROR(__xludf.DUMMYFUNCTION("""COMPUTED_VALUE"""),"Plain")</f>
        <v>Plain</v>
      </c>
      <c r="O745" s="9" t="str">
        <f>IFERROR(__xludf.DUMMYFUNCTION("""COMPUTED_VALUE"""),"TFA")</f>
        <v>TFA</v>
      </c>
      <c r="P745" s="9">
        <f>IFERROR(__xludf.DUMMYFUNCTION("""COMPUTED_VALUE"""),220.0)</f>
        <v>220</v>
      </c>
      <c r="Q745" s="9" t="str">
        <f>IFERROR(__xludf.DUMMYFUNCTION("""COMPUTED_VALUE"""),"Q1'23")</f>
        <v>Q1'23</v>
      </c>
      <c r="R745" s="9">
        <f>IFERROR(__xludf.DUMMYFUNCTION("""COMPUTED_VALUE"""),2.631118990023494)</f>
        <v>2.63111899</v>
      </c>
    </row>
    <row r="746" ht="14.25" customHeight="1">
      <c r="A746" s="3" t="s">
        <v>25</v>
      </c>
      <c r="B746" s="3" t="s">
        <v>32</v>
      </c>
      <c r="C746" s="3" t="s">
        <v>35</v>
      </c>
      <c r="D746" s="3" t="s">
        <v>30</v>
      </c>
      <c r="E746" s="3" t="s">
        <v>29</v>
      </c>
      <c r="F746" s="3">
        <v>220.0</v>
      </c>
      <c r="G746" s="4" t="s">
        <v>20</v>
      </c>
      <c r="H746" s="3">
        <v>3.349330742936363</v>
      </c>
      <c r="K746" s="9" t="str">
        <f>IFERROR(__xludf.DUMMYFUNCTION("""COMPUTED_VALUE"""),"TT Off South")</f>
        <v>TT Off South</v>
      </c>
      <c r="L746" s="9" t="str">
        <f>IFERROR(__xludf.DUMMYFUNCTION("""COMPUTED_VALUE"""),"Farmy")</f>
        <v>Farmy</v>
      </c>
      <c r="M746" s="9" t="str">
        <f>IFERROR(__xludf.DUMMYFUNCTION("""COMPUTED_VALUE"""),"Pro 100% Fresh")</f>
        <v>Pro 100% Fresh</v>
      </c>
      <c r="N746" s="9" t="str">
        <f>IFERROR(__xludf.DUMMYFUNCTION("""COMPUTED_VALUE"""),"Plain")</f>
        <v>Plain</v>
      </c>
      <c r="O746" s="9" t="str">
        <f>IFERROR(__xludf.DUMMYFUNCTION("""COMPUTED_VALUE"""),"TFA")</f>
        <v>TFA</v>
      </c>
      <c r="P746" s="9">
        <f>IFERROR(__xludf.DUMMYFUNCTION("""COMPUTED_VALUE"""),220.0)</f>
        <v>220</v>
      </c>
      <c r="Q746" s="9" t="str">
        <f>IFERROR(__xludf.DUMMYFUNCTION("""COMPUTED_VALUE"""),"Q2'23")</f>
        <v>Q2'23</v>
      </c>
      <c r="R746" s="9">
        <f>IFERROR(__xludf.DUMMYFUNCTION("""COMPUTED_VALUE"""),2.766359419068703)</f>
        <v>2.766359419</v>
      </c>
    </row>
    <row r="747" ht="14.25" customHeight="1">
      <c r="A747" s="3" t="s">
        <v>25</v>
      </c>
      <c r="B747" s="3" t="s">
        <v>32</v>
      </c>
      <c r="C747" s="3" t="s">
        <v>35</v>
      </c>
      <c r="D747" s="3" t="s">
        <v>30</v>
      </c>
      <c r="E747" s="3" t="s">
        <v>29</v>
      </c>
      <c r="F747" s="3">
        <v>220.0</v>
      </c>
      <c r="G747" s="4" t="s">
        <v>21</v>
      </c>
      <c r="H747" s="3">
        <v>2.61062772171062</v>
      </c>
      <c r="K747" s="9" t="str">
        <f>IFERROR(__xludf.DUMMYFUNCTION("""COMPUTED_VALUE"""),"TT Off South")</f>
        <v>TT Off South</v>
      </c>
      <c r="L747" s="9" t="str">
        <f>IFERROR(__xludf.DUMMYFUNCTION("""COMPUTED_VALUE"""),"Farmy")</f>
        <v>Farmy</v>
      </c>
      <c r="M747" s="9" t="str">
        <f>IFERROR(__xludf.DUMMYFUNCTION("""COMPUTED_VALUE"""),"Pro 100% Fresh")</f>
        <v>Pro 100% Fresh</v>
      </c>
      <c r="N747" s="9" t="str">
        <f>IFERROR(__xludf.DUMMYFUNCTION("""COMPUTED_VALUE"""),"Plain")</f>
        <v>Plain</v>
      </c>
      <c r="O747" s="9" t="str">
        <f>IFERROR(__xludf.DUMMYFUNCTION("""COMPUTED_VALUE"""),"TFA")</f>
        <v>TFA</v>
      </c>
      <c r="P747" s="9">
        <f>IFERROR(__xludf.DUMMYFUNCTION("""COMPUTED_VALUE"""),220.0)</f>
        <v>220</v>
      </c>
      <c r="Q747" s="9" t="str">
        <f>IFERROR(__xludf.DUMMYFUNCTION("""COMPUTED_VALUE"""),"Q3'23")</f>
        <v>Q3'23</v>
      </c>
      <c r="R747" s="9">
        <f>IFERROR(__xludf.DUMMYFUNCTION("""COMPUTED_VALUE"""),3.0211106036753232)</f>
        <v>3.021110604</v>
      </c>
    </row>
    <row r="748" ht="14.25" customHeight="1">
      <c r="A748" s="3" t="s">
        <v>25</v>
      </c>
      <c r="B748" s="3" t="s">
        <v>32</v>
      </c>
      <c r="C748" s="3" t="s">
        <v>35</v>
      </c>
      <c r="D748" s="3" t="s">
        <v>30</v>
      </c>
      <c r="E748" s="3" t="s">
        <v>29</v>
      </c>
      <c r="F748" s="3">
        <v>220.0</v>
      </c>
      <c r="G748" s="4" t="s">
        <v>22</v>
      </c>
      <c r="H748" s="3">
        <v>1.5734613503599129</v>
      </c>
      <c r="K748" s="9" t="str">
        <f>IFERROR(__xludf.DUMMYFUNCTION("""COMPUTED_VALUE"""),"TT Off South")</f>
        <v>TT Off South</v>
      </c>
      <c r="L748" s="9" t="str">
        <f>IFERROR(__xludf.DUMMYFUNCTION("""COMPUTED_VALUE"""),"Farmy")</f>
        <v>Farmy</v>
      </c>
      <c r="M748" s="9" t="str">
        <f>IFERROR(__xludf.DUMMYFUNCTION("""COMPUTED_VALUE"""),"Pro 100% Fresh")</f>
        <v>Pro 100% Fresh</v>
      </c>
      <c r="N748" s="9" t="str">
        <f>IFERROR(__xludf.DUMMYFUNCTION("""COMPUTED_VALUE"""),"Plain")</f>
        <v>Plain</v>
      </c>
      <c r="O748" s="9" t="str">
        <f>IFERROR(__xludf.DUMMYFUNCTION("""COMPUTED_VALUE"""),"TFA")</f>
        <v>TFA</v>
      </c>
      <c r="P748" s="9">
        <f>IFERROR(__xludf.DUMMYFUNCTION("""COMPUTED_VALUE"""),220.0)</f>
        <v>220</v>
      </c>
      <c r="Q748" s="9" t="str">
        <f>IFERROR(__xludf.DUMMYFUNCTION("""COMPUTED_VALUE"""),"Q4'23")</f>
        <v>Q4'23</v>
      </c>
      <c r="R748" s="9">
        <f>IFERROR(__xludf.DUMMYFUNCTION("""COMPUTED_VALUE"""),2.936873202412027)</f>
        <v>2.936873202</v>
      </c>
    </row>
    <row r="749" ht="14.25" customHeight="1">
      <c r="A749" s="3" t="s">
        <v>25</v>
      </c>
      <c r="B749" s="3" t="s">
        <v>41</v>
      </c>
      <c r="C749" s="3" t="s">
        <v>42</v>
      </c>
      <c r="D749" s="3" t="s">
        <v>37</v>
      </c>
      <c r="E749" s="3" t="s">
        <v>43</v>
      </c>
      <c r="F749" s="3">
        <v>237.0</v>
      </c>
      <c r="G749" s="4" t="s">
        <v>15</v>
      </c>
      <c r="H749" s="3">
        <v>0.8430504151985769</v>
      </c>
      <c r="K749" s="9" t="str">
        <f>IFERROR(__xludf.DUMMYFUNCTION("""COMPUTED_VALUE"""),"TT Off South")</f>
        <v>TT Off South</v>
      </c>
      <c r="L749" s="9" t="str">
        <f>IFERROR(__xludf.DUMMYFUNCTION("""COMPUTED_VALUE"""),"Wonderland")</f>
        <v>Wonderland</v>
      </c>
      <c r="M749" s="9" t="str">
        <f>IFERROR(__xludf.DUMMYFUNCTION("""COMPUTED_VALUE"""),"Mina Organic")</f>
        <v>Mina Organic</v>
      </c>
      <c r="N749" s="9" t="str">
        <f>IFERROR(__xludf.DUMMYFUNCTION("""COMPUTED_VALUE"""),"Less Sugar")</f>
        <v>Less Sugar</v>
      </c>
      <c r="O749" s="9" t="str">
        <f>IFERROR(__xludf.DUMMYFUNCTION("""COMPUTED_VALUE"""),"PLBT")</f>
        <v>PLBT</v>
      </c>
      <c r="P749" s="9">
        <f>IFERROR(__xludf.DUMMYFUNCTION("""COMPUTED_VALUE"""),237.0)</f>
        <v>237</v>
      </c>
      <c r="Q749" s="9" t="str">
        <f>IFERROR(__xludf.DUMMYFUNCTION("""COMPUTED_VALUE"""),"Q1'22")</f>
        <v>Q1'22</v>
      </c>
      <c r="R749" s="9">
        <f>IFERROR(__xludf.DUMMYFUNCTION("""COMPUTED_VALUE"""),1.2183374038661932)</f>
        <v>1.218337404</v>
      </c>
    </row>
    <row r="750" ht="14.25" customHeight="1">
      <c r="A750" s="3" t="s">
        <v>25</v>
      </c>
      <c r="B750" s="3" t="s">
        <v>41</v>
      </c>
      <c r="C750" s="3" t="s">
        <v>42</v>
      </c>
      <c r="D750" s="3" t="s">
        <v>37</v>
      </c>
      <c r="E750" s="3" t="s">
        <v>43</v>
      </c>
      <c r="F750" s="3">
        <v>237.0</v>
      </c>
      <c r="G750" s="4" t="s">
        <v>16</v>
      </c>
      <c r="H750" s="3">
        <v>1.4901128411485962</v>
      </c>
      <c r="K750" s="9" t="str">
        <f>IFERROR(__xludf.DUMMYFUNCTION("""COMPUTED_VALUE"""),"TT Off South")</f>
        <v>TT Off South</v>
      </c>
      <c r="L750" s="9" t="str">
        <f>IFERROR(__xludf.DUMMYFUNCTION("""COMPUTED_VALUE"""),"Wonderland")</f>
        <v>Wonderland</v>
      </c>
      <c r="M750" s="9" t="str">
        <f>IFERROR(__xludf.DUMMYFUNCTION("""COMPUTED_VALUE"""),"Mina Organic")</f>
        <v>Mina Organic</v>
      </c>
      <c r="N750" s="9" t="str">
        <f>IFERROR(__xludf.DUMMYFUNCTION("""COMPUTED_VALUE"""),"Less Sugar")</f>
        <v>Less Sugar</v>
      </c>
      <c r="O750" s="9" t="str">
        <f>IFERROR(__xludf.DUMMYFUNCTION("""COMPUTED_VALUE"""),"PLBT")</f>
        <v>PLBT</v>
      </c>
      <c r="P750" s="9">
        <f>IFERROR(__xludf.DUMMYFUNCTION("""COMPUTED_VALUE"""),237.0)</f>
        <v>237</v>
      </c>
      <c r="Q750" s="9" t="str">
        <f>IFERROR(__xludf.DUMMYFUNCTION("""COMPUTED_VALUE"""),"Q2'22")</f>
        <v>Q2'22</v>
      </c>
      <c r="R750" s="9">
        <f>IFERROR(__xludf.DUMMYFUNCTION("""COMPUTED_VALUE"""),1.6116163592137442)</f>
        <v>1.611616359</v>
      </c>
    </row>
    <row r="751" ht="14.25" customHeight="1">
      <c r="A751" s="3" t="s">
        <v>25</v>
      </c>
      <c r="B751" s="3" t="s">
        <v>41</v>
      </c>
      <c r="C751" s="3" t="s">
        <v>42</v>
      </c>
      <c r="D751" s="3" t="s">
        <v>37</v>
      </c>
      <c r="E751" s="3" t="s">
        <v>43</v>
      </c>
      <c r="F751" s="3">
        <v>237.0</v>
      </c>
      <c r="G751" s="4" t="s">
        <v>17</v>
      </c>
      <c r="H751" s="3">
        <v>1.1861778176511637</v>
      </c>
      <c r="K751" s="9" t="str">
        <f>IFERROR(__xludf.DUMMYFUNCTION("""COMPUTED_VALUE"""),"TT Off South")</f>
        <v>TT Off South</v>
      </c>
      <c r="L751" s="9" t="str">
        <f>IFERROR(__xludf.DUMMYFUNCTION("""COMPUTED_VALUE"""),"Wonderland")</f>
        <v>Wonderland</v>
      </c>
      <c r="M751" s="9" t="str">
        <f>IFERROR(__xludf.DUMMYFUNCTION("""COMPUTED_VALUE"""),"Mina Organic")</f>
        <v>Mina Organic</v>
      </c>
      <c r="N751" s="9" t="str">
        <f>IFERROR(__xludf.DUMMYFUNCTION("""COMPUTED_VALUE"""),"Less Sugar")</f>
        <v>Less Sugar</v>
      </c>
      <c r="O751" s="9" t="str">
        <f>IFERROR(__xludf.DUMMYFUNCTION("""COMPUTED_VALUE"""),"PLBT")</f>
        <v>PLBT</v>
      </c>
      <c r="P751" s="9">
        <f>IFERROR(__xludf.DUMMYFUNCTION("""COMPUTED_VALUE"""),237.0)</f>
        <v>237</v>
      </c>
      <c r="Q751" s="9" t="str">
        <f>IFERROR(__xludf.DUMMYFUNCTION("""COMPUTED_VALUE"""),"Q3'22")</f>
        <v>Q3'22</v>
      </c>
      <c r="R751" s="9">
        <f>IFERROR(__xludf.DUMMYFUNCTION("""COMPUTED_VALUE"""),1.4620548487547302)</f>
        <v>1.462054849</v>
      </c>
    </row>
    <row r="752" ht="14.25" customHeight="1">
      <c r="A752" s="3" t="s">
        <v>25</v>
      </c>
      <c r="B752" s="3" t="s">
        <v>41</v>
      </c>
      <c r="C752" s="3" t="s">
        <v>42</v>
      </c>
      <c r="D752" s="3" t="s">
        <v>37</v>
      </c>
      <c r="E752" s="3" t="s">
        <v>43</v>
      </c>
      <c r="F752" s="3">
        <v>237.0</v>
      </c>
      <c r="G752" s="4" t="s">
        <v>18</v>
      </c>
      <c r="H752" s="3">
        <v>1.380456812588912</v>
      </c>
      <c r="K752" s="9" t="str">
        <f>IFERROR(__xludf.DUMMYFUNCTION("""COMPUTED_VALUE"""),"TT Off South")</f>
        <v>TT Off South</v>
      </c>
      <c r="L752" s="9" t="str">
        <f>IFERROR(__xludf.DUMMYFUNCTION("""COMPUTED_VALUE"""),"Wonderland")</f>
        <v>Wonderland</v>
      </c>
      <c r="M752" s="9" t="str">
        <f>IFERROR(__xludf.DUMMYFUNCTION("""COMPUTED_VALUE"""),"Mina Organic")</f>
        <v>Mina Organic</v>
      </c>
      <c r="N752" s="9" t="str">
        <f>IFERROR(__xludf.DUMMYFUNCTION("""COMPUTED_VALUE"""),"Less Sugar")</f>
        <v>Less Sugar</v>
      </c>
      <c r="O752" s="9" t="str">
        <f>IFERROR(__xludf.DUMMYFUNCTION("""COMPUTED_VALUE"""),"PLBT")</f>
        <v>PLBT</v>
      </c>
      <c r="P752" s="9">
        <f>IFERROR(__xludf.DUMMYFUNCTION("""COMPUTED_VALUE"""),237.0)</f>
        <v>237</v>
      </c>
      <c r="Q752" s="9" t="str">
        <f>IFERROR(__xludf.DUMMYFUNCTION("""COMPUTED_VALUE"""),"Q4'22")</f>
        <v>Q4'22</v>
      </c>
      <c r="R752" s="9">
        <f>IFERROR(__xludf.DUMMYFUNCTION("""COMPUTED_VALUE"""),1.6223446361695582)</f>
        <v>1.622344636</v>
      </c>
    </row>
    <row r="753" ht="14.25" customHeight="1">
      <c r="A753" s="3" t="s">
        <v>25</v>
      </c>
      <c r="B753" s="3" t="s">
        <v>41</v>
      </c>
      <c r="C753" s="3" t="s">
        <v>42</v>
      </c>
      <c r="D753" s="3" t="s">
        <v>37</v>
      </c>
      <c r="E753" s="3" t="s">
        <v>43</v>
      </c>
      <c r="F753" s="3">
        <v>237.0</v>
      </c>
      <c r="G753" s="4" t="s">
        <v>19</v>
      </c>
      <c r="H753" s="3">
        <v>1.2668334475479806</v>
      </c>
      <c r="K753" s="9" t="str">
        <f>IFERROR(__xludf.DUMMYFUNCTION("""COMPUTED_VALUE"""),"TT Off South")</f>
        <v>TT Off South</v>
      </c>
      <c r="L753" s="9" t="str">
        <f>IFERROR(__xludf.DUMMYFUNCTION("""COMPUTED_VALUE"""),"Wonderland")</f>
        <v>Wonderland</v>
      </c>
      <c r="M753" s="9" t="str">
        <f>IFERROR(__xludf.DUMMYFUNCTION("""COMPUTED_VALUE"""),"Mina Organic")</f>
        <v>Mina Organic</v>
      </c>
      <c r="N753" s="9" t="str">
        <f>IFERROR(__xludf.DUMMYFUNCTION("""COMPUTED_VALUE"""),"Less Sugar")</f>
        <v>Less Sugar</v>
      </c>
      <c r="O753" s="9" t="str">
        <f>IFERROR(__xludf.DUMMYFUNCTION("""COMPUTED_VALUE"""),"PLBT")</f>
        <v>PLBT</v>
      </c>
      <c r="P753" s="9">
        <f>IFERROR(__xludf.DUMMYFUNCTION("""COMPUTED_VALUE"""),237.0)</f>
        <v>237</v>
      </c>
      <c r="Q753" s="9" t="str">
        <f>IFERROR(__xludf.DUMMYFUNCTION("""COMPUTED_VALUE"""),"Q1'23")</f>
        <v>Q1'23</v>
      </c>
      <c r="R753" s="9">
        <f>IFERROR(__xludf.DUMMYFUNCTION("""COMPUTED_VALUE"""),1.306020550352699)</f>
        <v>1.30602055</v>
      </c>
    </row>
    <row r="754" ht="14.25" customHeight="1">
      <c r="A754" s="3" t="s">
        <v>25</v>
      </c>
      <c r="B754" s="3" t="s">
        <v>41</v>
      </c>
      <c r="C754" s="3" t="s">
        <v>42</v>
      </c>
      <c r="D754" s="3" t="s">
        <v>37</v>
      </c>
      <c r="E754" s="3" t="s">
        <v>43</v>
      </c>
      <c r="F754" s="3">
        <v>237.0</v>
      </c>
      <c r="G754" s="4" t="s">
        <v>20</v>
      </c>
      <c r="H754" s="3">
        <v>1.1506704800021401</v>
      </c>
      <c r="K754" s="9" t="str">
        <f>IFERROR(__xludf.DUMMYFUNCTION("""COMPUTED_VALUE"""),"TT Off South")</f>
        <v>TT Off South</v>
      </c>
      <c r="L754" s="9" t="str">
        <f>IFERROR(__xludf.DUMMYFUNCTION("""COMPUTED_VALUE"""),"Wonderland")</f>
        <v>Wonderland</v>
      </c>
      <c r="M754" s="9" t="str">
        <f>IFERROR(__xludf.DUMMYFUNCTION("""COMPUTED_VALUE"""),"Mina Organic")</f>
        <v>Mina Organic</v>
      </c>
      <c r="N754" s="9" t="str">
        <f>IFERROR(__xludf.DUMMYFUNCTION("""COMPUTED_VALUE"""),"Less Sugar")</f>
        <v>Less Sugar</v>
      </c>
      <c r="O754" s="9" t="str">
        <f>IFERROR(__xludf.DUMMYFUNCTION("""COMPUTED_VALUE"""),"PLBT")</f>
        <v>PLBT</v>
      </c>
      <c r="P754" s="9">
        <f>IFERROR(__xludf.DUMMYFUNCTION("""COMPUTED_VALUE"""),237.0)</f>
        <v>237</v>
      </c>
      <c r="Q754" s="9" t="str">
        <f>IFERROR(__xludf.DUMMYFUNCTION("""COMPUTED_VALUE"""),"Q2'23")</f>
        <v>Q2'23</v>
      </c>
      <c r="R754" s="9">
        <f>IFERROR(__xludf.DUMMYFUNCTION("""COMPUTED_VALUE"""),1.4457994879451024)</f>
        <v>1.445799488</v>
      </c>
    </row>
    <row r="755" ht="14.25" customHeight="1">
      <c r="A755" s="3" t="s">
        <v>25</v>
      </c>
      <c r="B755" s="3" t="s">
        <v>41</v>
      </c>
      <c r="C755" s="3" t="s">
        <v>42</v>
      </c>
      <c r="D755" s="3" t="s">
        <v>37</v>
      </c>
      <c r="E755" s="3" t="s">
        <v>43</v>
      </c>
      <c r="F755" s="3">
        <v>237.0</v>
      </c>
      <c r="G755" s="4" t="s">
        <v>21</v>
      </c>
      <c r="H755" s="3">
        <v>1.3729534957038871</v>
      </c>
      <c r="K755" s="9" t="str">
        <f>IFERROR(__xludf.DUMMYFUNCTION("""COMPUTED_VALUE"""),"TT Off South")</f>
        <v>TT Off South</v>
      </c>
      <c r="L755" s="9" t="str">
        <f>IFERROR(__xludf.DUMMYFUNCTION("""COMPUTED_VALUE"""),"Wonderland")</f>
        <v>Wonderland</v>
      </c>
      <c r="M755" s="9" t="str">
        <f>IFERROR(__xludf.DUMMYFUNCTION("""COMPUTED_VALUE"""),"Mina Organic")</f>
        <v>Mina Organic</v>
      </c>
      <c r="N755" s="9" t="str">
        <f>IFERROR(__xludf.DUMMYFUNCTION("""COMPUTED_VALUE"""),"Less Sugar")</f>
        <v>Less Sugar</v>
      </c>
      <c r="O755" s="9" t="str">
        <f>IFERROR(__xludf.DUMMYFUNCTION("""COMPUTED_VALUE"""),"PLBT")</f>
        <v>PLBT</v>
      </c>
      <c r="P755" s="9">
        <f>IFERROR(__xludf.DUMMYFUNCTION("""COMPUTED_VALUE"""),237.0)</f>
        <v>237</v>
      </c>
      <c r="Q755" s="9" t="str">
        <f>IFERROR(__xludf.DUMMYFUNCTION("""COMPUTED_VALUE"""),"Q3'23")</f>
        <v>Q3'23</v>
      </c>
      <c r="R755" s="9">
        <f>IFERROR(__xludf.DUMMYFUNCTION("""COMPUTED_VALUE"""),1.8013309812685612)</f>
        <v>1.801330981</v>
      </c>
    </row>
    <row r="756" ht="14.25" customHeight="1">
      <c r="A756" s="3" t="s">
        <v>25</v>
      </c>
      <c r="B756" s="3" t="s">
        <v>41</v>
      </c>
      <c r="C756" s="3" t="s">
        <v>42</v>
      </c>
      <c r="D756" s="3" t="s">
        <v>37</v>
      </c>
      <c r="E756" s="3" t="s">
        <v>43</v>
      </c>
      <c r="F756" s="3">
        <v>237.0</v>
      </c>
      <c r="G756" s="4" t="s">
        <v>22</v>
      </c>
      <c r="H756" s="3">
        <v>2.0606446662029305</v>
      </c>
      <c r="K756" s="9" t="str">
        <f>IFERROR(__xludf.DUMMYFUNCTION("""COMPUTED_VALUE"""),"TT Off South")</f>
        <v>TT Off South</v>
      </c>
      <c r="L756" s="9" t="str">
        <f>IFERROR(__xludf.DUMMYFUNCTION("""COMPUTED_VALUE"""),"Wonderland")</f>
        <v>Wonderland</v>
      </c>
      <c r="M756" s="9" t="str">
        <f>IFERROR(__xludf.DUMMYFUNCTION("""COMPUTED_VALUE"""),"Mina Organic")</f>
        <v>Mina Organic</v>
      </c>
      <c r="N756" s="9" t="str">
        <f>IFERROR(__xludf.DUMMYFUNCTION("""COMPUTED_VALUE"""),"Less Sugar")</f>
        <v>Less Sugar</v>
      </c>
      <c r="O756" s="9" t="str">
        <f>IFERROR(__xludf.DUMMYFUNCTION("""COMPUTED_VALUE"""),"PLBT")</f>
        <v>PLBT</v>
      </c>
      <c r="P756" s="9">
        <f>IFERROR(__xludf.DUMMYFUNCTION("""COMPUTED_VALUE"""),237.0)</f>
        <v>237</v>
      </c>
      <c r="Q756" s="9" t="str">
        <f>IFERROR(__xludf.DUMMYFUNCTION("""COMPUTED_VALUE"""),"Q4'23")</f>
        <v>Q4'23</v>
      </c>
      <c r="R756" s="9">
        <f>IFERROR(__xludf.DUMMYFUNCTION("""COMPUTED_VALUE"""),1.813224785813899)</f>
        <v>1.813224786</v>
      </c>
    </row>
    <row r="757" ht="14.25" customHeight="1">
      <c r="A757" s="3" t="s">
        <v>25</v>
      </c>
      <c r="B757" s="3" t="s">
        <v>41</v>
      </c>
      <c r="C757" s="3" t="s">
        <v>44</v>
      </c>
      <c r="D757" s="3" t="s">
        <v>34</v>
      </c>
      <c r="E757" s="3" t="s">
        <v>43</v>
      </c>
      <c r="F757" s="3">
        <v>237.0</v>
      </c>
      <c r="G757" s="4" t="s">
        <v>15</v>
      </c>
      <c r="H757" s="3">
        <v>2.3383126765826137</v>
      </c>
      <c r="K757" s="9" t="str">
        <f>IFERROR(__xludf.DUMMYFUNCTION("""COMPUTED_VALUE"""),"TT Off South")</f>
        <v>TT Off South</v>
      </c>
      <c r="L757" s="9" t="str">
        <f>IFERROR(__xludf.DUMMYFUNCTION("""COMPUTED_VALUE"""),"Wonderland")</f>
        <v>Wonderland</v>
      </c>
      <c r="M757" s="9" t="str">
        <f>IFERROR(__xludf.DUMMYFUNCTION("""COMPUTED_VALUE"""),"Happy Kids")</f>
        <v>Happy Kids</v>
      </c>
      <c r="N757" s="9" t="str">
        <f>IFERROR(__xludf.DUMMYFUNCTION("""COMPUTED_VALUE"""),"Vanilla")</f>
        <v>Vanilla</v>
      </c>
      <c r="O757" s="9" t="str">
        <f>IFERROR(__xludf.DUMMYFUNCTION("""COMPUTED_VALUE"""),"PLBT")</f>
        <v>PLBT</v>
      </c>
      <c r="P757" s="9">
        <f>IFERROR(__xludf.DUMMYFUNCTION("""COMPUTED_VALUE"""),237.0)</f>
        <v>237</v>
      </c>
      <c r="Q757" s="9" t="str">
        <f>IFERROR(__xludf.DUMMYFUNCTION("""COMPUTED_VALUE"""),"Q1'22")</f>
        <v>Q1'22</v>
      </c>
      <c r="R757" s="9">
        <f>IFERROR(__xludf.DUMMYFUNCTION("""COMPUTED_VALUE"""),5.920654472944023)</f>
        <v>5.920654473</v>
      </c>
    </row>
    <row r="758" ht="14.25" customHeight="1">
      <c r="A758" s="3" t="s">
        <v>25</v>
      </c>
      <c r="B758" s="3" t="s">
        <v>41</v>
      </c>
      <c r="C758" s="3" t="s">
        <v>44</v>
      </c>
      <c r="D758" s="3" t="s">
        <v>34</v>
      </c>
      <c r="E758" s="3" t="s">
        <v>43</v>
      </c>
      <c r="F758" s="3">
        <v>237.0</v>
      </c>
      <c r="G758" s="4" t="s">
        <v>16</v>
      </c>
      <c r="H758" s="3">
        <v>2.3503273480781455</v>
      </c>
      <c r="K758" s="9" t="str">
        <f>IFERROR(__xludf.DUMMYFUNCTION("""COMPUTED_VALUE"""),"TT Off South")</f>
        <v>TT Off South</v>
      </c>
      <c r="L758" s="9" t="str">
        <f>IFERROR(__xludf.DUMMYFUNCTION("""COMPUTED_VALUE"""),"Wonderland")</f>
        <v>Wonderland</v>
      </c>
      <c r="M758" s="9" t="str">
        <f>IFERROR(__xludf.DUMMYFUNCTION("""COMPUTED_VALUE"""),"Happy Kids")</f>
        <v>Happy Kids</v>
      </c>
      <c r="N758" s="9" t="str">
        <f>IFERROR(__xludf.DUMMYFUNCTION("""COMPUTED_VALUE"""),"Vanilla")</f>
        <v>Vanilla</v>
      </c>
      <c r="O758" s="9" t="str">
        <f>IFERROR(__xludf.DUMMYFUNCTION("""COMPUTED_VALUE"""),"PLBT")</f>
        <v>PLBT</v>
      </c>
      <c r="P758" s="9">
        <f>IFERROR(__xludf.DUMMYFUNCTION("""COMPUTED_VALUE"""),237.0)</f>
        <v>237</v>
      </c>
      <c r="Q758" s="9" t="str">
        <f>IFERROR(__xludf.DUMMYFUNCTION("""COMPUTED_VALUE"""),"Q2'22")</f>
        <v>Q2'22</v>
      </c>
      <c r="R758" s="9">
        <f>IFERROR(__xludf.DUMMYFUNCTION("""COMPUTED_VALUE"""),5.874158701498404)</f>
        <v>5.874158701</v>
      </c>
    </row>
    <row r="759" ht="14.25" customHeight="1">
      <c r="A759" s="3" t="s">
        <v>25</v>
      </c>
      <c r="B759" s="3" t="s">
        <v>41</v>
      </c>
      <c r="C759" s="3" t="s">
        <v>44</v>
      </c>
      <c r="D759" s="3" t="s">
        <v>34</v>
      </c>
      <c r="E759" s="3" t="s">
        <v>43</v>
      </c>
      <c r="F759" s="3">
        <v>237.0</v>
      </c>
      <c r="G759" s="4" t="s">
        <v>17</v>
      </c>
      <c r="H759" s="3">
        <v>2.797246189750978</v>
      </c>
      <c r="K759" s="9" t="str">
        <f>IFERROR(__xludf.DUMMYFUNCTION("""COMPUTED_VALUE"""),"TT Off South")</f>
        <v>TT Off South</v>
      </c>
      <c r="L759" s="9" t="str">
        <f>IFERROR(__xludf.DUMMYFUNCTION("""COMPUTED_VALUE"""),"Wonderland")</f>
        <v>Wonderland</v>
      </c>
      <c r="M759" s="9" t="str">
        <f>IFERROR(__xludf.DUMMYFUNCTION("""COMPUTED_VALUE"""),"Happy Kids")</f>
        <v>Happy Kids</v>
      </c>
      <c r="N759" s="9" t="str">
        <f>IFERROR(__xludf.DUMMYFUNCTION("""COMPUTED_VALUE"""),"Vanilla")</f>
        <v>Vanilla</v>
      </c>
      <c r="O759" s="9" t="str">
        <f>IFERROR(__xludf.DUMMYFUNCTION("""COMPUTED_VALUE"""),"PLBT")</f>
        <v>PLBT</v>
      </c>
      <c r="P759" s="9">
        <f>IFERROR(__xludf.DUMMYFUNCTION("""COMPUTED_VALUE"""),237.0)</f>
        <v>237</v>
      </c>
      <c r="Q759" s="9" t="str">
        <f>IFERROR(__xludf.DUMMYFUNCTION("""COMPUTED_VALUE"""),"Q3'22")</f>
        <v>Q3'22</v>
      </c>
      <c r="R759" s="9">
        <f>IFERROR(__xludf.DUMMYFUNCTION("""COMPUTED_VALUE"""),6.508361878345788)</f>
        <v>6.508361878</v>
      </c>
    </row>
    <row r="760" ht="14.25" customHeight="1">
      <c r="A760" s="3" t="s">
        <v>25</v>
      </c>
      <c r="B760" s="3" t="s">
        <v>41</v>
      </c>
      <c r="C760" s="3" t="s">
        <v>44</v>
      </c>
      <c r="D760" s="3" t="s">
        <v>34</v>
      </c>
      <c r="E760" s="3" t="s">
        <v>43</v>
      </c>
      <c r="F760" s="3">
        <v>237.0</v>
      </c>
      <c r="G760" s="4" t="s">
        <v>18</v>
      </c>
      <c r="H760" s="3">
        <v>2.948583438037251</v>
      </c>
      <c r="K760" s="9" t="str">
        <f>IFERROR(__xludf.DUMMYFUNCTION("""COMPUTED_VALUE"""),"TT Off South")</f>
        <v>TT Off South</v>
      </c>
      <c r="L760" s="9" t="str">
        <f>IFERROR(__xludf.DUMMYFUNCTION("""COMPUTED_VALUE"""),"Wonderland")</f>
        <v>Wonderland</v>
      </c>
      <c r="M760" s="9" t="str">
        <f>IFERROR(__xludf.DUMMYFUNCTION("""COMPUTED_VALUE"""),"Happy Kids")</f>
        <v>Happy Kids</v>
      </c>
      <c r="N760" s="9" t="str">
        <f>IFERROR(__xludf.DUMMYFUNCTION("""COMPUTED_VALUE"""),"Vanilla")</f>
        <v>Vanilla</v>
      </c>
      <c r="O760" s="9" t="str">
        <f>IFERROR(__xludf.DUMMYFUNCTION("""COMPUTED_VALUE"""),"PLBT")</f>
        <v>PLBT</v>
      </c>
      <c r="P760" s="9">
        <f>IFERROR(__xludf.DUMMYFUNCTION("""COMPUTED_VALUE"""),237.0)</f>
        <v>237</v>
      </c>
      <c r="Q760" s="9" t="str">
        <f>IFERROR(__xludf.DUMMYFUNCTION("""COMPUTED_VALUE"""),"Q4'22")</f>
        <v>Q4'22</v>
      </c>
      <c r="R760" s="9">
        <f>IFERROR(__xludf.DUMMYFUNCTION("""COMPUTED_VALUE"""),6.727981190327446)</f>
        <v>6.72798119</v>
      </c>
    </row>
    <row r="761" ht="14.25" customHeight="1">
      <c r="A761" s="3" t="s">
        <v>25</v>
      </c>
      <c r="B761" s="3" t="s">
        <v>41</v>
      </c>
      <c r="C761" s="3" t="s">
        <v>44</v>
      </c>
      <c r="D761" s="3" t="s">
        <v>34</v>
      </c>
      <c r="E761" s="3" t="s">
        <v>43</v>
      </c>
      <c r="F761" s="3">
        <v>237.0</v>
      </c>
      <c r="G761" s="4" t="s">
        <v>19</v>
      </c>
      <c r="H761" s="3">
        <v>3.1144706743204194</v>
      </c>
      <c r="K761" s="9" t="str">
        <f>IFERROR(__xludf.DUMMYFUNCTION("""COMPUTED_VALUE"""),"TT Off South")</f>
        <v>TT Off South</v>
      </c>
      <c r="L761" s="9" t="str">
        <f>IFERROR(__xludf.DUMMYFUNCTION("""COMPUTED_VALUE"""),"Wonderland")</f>
        <v>Wonderland</v>
      </c>
      <c r="M761" s="9" t="str">
        <f>IFERROR(__xludf.DUMMYFUNCTION("""COMPUTED_VALUE"""),"Happy Kids")</f>
        <v>Happy Kids</v>
      </c>
      <c r="N761" s="9" t="str">
        <f>IFERROR(__xludf.DUMMYFUNCTION("""COMPUTED_VALUE"""),"Vanilla")</f>
        <v>Vanilla</v>
      </c>
      <c r="O761" s="9" t="str">
        <f>IFERROR(__xludf.DUMMYFUNCTION("""COMPUTED_VALUE"""),"PLBT")</f>
        <v>PLBT</v>
      </c>
      <c r="P761" s="9">
        <f>IFERROR(__xludf.DUMMYFUNCTION("""COMPUTED_VALUE"""),237.0)</f>
        <v>237</v>
      </c>
      <c r="Q761" s="9" t="str">
        <f>IFERROR(__xludf.DUMMYFUNCTION("""COMPUTED_VALUE"""),"Q1'23")</f>
        <v>Q1'23</v>
      </c>
      <c r="R761" s="9">
        <f>IFERROR(__xludf.DUMMYFUNCTION("""COMPUTED_VALUE"""),5.9868705847540955)</f>
        <v>5.986870585</v>
      </c>
    </row>
    <row r="762" ht="14.25" customHeight="1">
      <c r="A762" s="3" t="s">
        <v>25</v>
      </c>
      <c r="B762" s="3" t="s">
        <v>41</v>
      </c>
      <c r="C762" s="3" t="s">
        <v>44</v>
      </c>
      <c r="D762" s="3" t="s">
        <v>34</v>
      </c>
      <c r="E762" s="3" t="s">
        <v>43</v>
      </c>
      <c r="F762" s="3">
        <v>237.0</v>
      </c>
      <c r="G762" s="4" t="s">
        <v>20</v>
      </c>
      <c r="H762" s="3">
        <v>3.346072915702268</v>
      </c>
      <c r="K762" s="9" t="str">
        <f>IFERROR(__xludf.DUMMYFUNCTION("""COMPUTED_VALUE"""),"TT Off South")</f>
        <v>TT Off South</v>
      </c>
      <c r="L762" s="9" t="str">
        <f>IFERROR(__xludf.DUMMYFUNCTION("""COMPUTED_VALUE"""),"Wonderland")</f>
        <v>Wonderland</v>
      </c>
      <c r="M762" s="9" t="str">
        <f>IFERROR(__xludf.DUMMYFUNCTION("""COMPUTED_VALUE"""),"Happy Kids")</f>
        <v>Happy Kids</v>
      </c>
      <c r="N762" s="9" t="str">
        <f>IFERROR(__xludf.DUMMYFUNCTION("""COMPUTED_VALUE"""),"Vanilla")</f>
        <v>Vanilla</v>
      </c>
      <c r="O762" s="9" t="str">
        <f>IFERROR(__xludf.DUMMYFUNCTION("""COMPUTED_VALUE"""),"PLBT")</f>
        <v>PLBT</v>
      </c>
      <c r="P762" s="9">
        <f>IFERROR(__xludf.DUMMYFUNCTION("""COMPUTED_VALUE"""),237.0)</f>
        <v>237</v>
      </c>
      <c r="Q762" s="9" t="str">
        <f>IFERROR(__xludf.DUMMYFUNCTION("""COMPUTED_VALUE"""),"Q2'23")</f>
        <v>Q2'23</v>
      </c>
      <c r="R762" s="9">
        <f>IFERROR(__xludf.DUMMYFUNCTION("""COMPUTED_VALUE"""),7.3503092225329585)</f>
        <v>7.350309223</v>
      </c>
    </row>
    <row r="763" ht="14.25" customHeight="1">
      <c r="A763" s="3" t="s">
        <v>25</v>
      </c>
      <c r="B763" s="3" t="s">
        <v>41</v>
      </c>
      <c r="C763" s="3" t="s">
        <v>44</v>
      </c>
      <c r="D763" s="3" t="s">
        <v>34</v>
      </c>
      <c r="E763" s="3" t="s">
        <v>43</v>
      </c>
      <c r="F763" s="3">
        <v>237.0</v>
      </c>
      <c r="G763" s="4" t="s">
        <v>21</v>
      </c>
      <c r="H763" s="3">
        <v>3.3186810895957084</v>
      </c>
      <c r="K763" s="9" t="str">
        <f>IFERROR(__xludf.DUMMYFUNCTION("""COMPUTED_VALUE"""),"TT Off South")</f>
        <v>TT Off South</v>
      </c>
      <c r="L763" s="9" t="str">
        <f>IFERROR(__xludf.DUMMYFUNCTION("""COMPUTED_VALUE"""),"Wonderland")</f>
        <v>Wonderland</v>
      </c>
      <c r="M763" s="9" t="str">
        <f>IFERROR(__xludf.DUMMYFUNCTION("""COMPUTED_VALUE"""),"Happy Kids")</f>
        <v>Happy Kids</v>
      </c>
      <c r="N763" s="9" t="str">
        <f>IFERROR(__xludf.DUMMYFUNCTION("""COMPUTED_VALUE"""),"Vanilla")</f>
        <v>Vanilla</v>
      </c>
      <c r="O763" s="9" t="str">
        <f>IFERROR(__xludf.DUMMYFUNCTION("""COMPUTED_VALUE"""),"PLBT")</f>
        <v>PLBT</v>
      </c>
      <c r="P763" s="9">
        <f>IFERROR(__xludf.DUMMYFUNCTION("""COMPUTED_VALUE"""),237.0)</f>
        <v>237</v>
      </c>
      <c r="Q763" s="9" t="str">
        <f>IFERROR(__xludf.DUMMYFUNCTION("""COMPUTED_VALUE"""),"Q3'23")</f>
        <v>Q3'23</v>
      </c>
      <c r="R763" s="9">
        <f>IFERROR(__xludf.DUMMYFUNCTION("""COMPUTED_VALUE"""),7.437769426422514)</f>
        <v>7.437769426</v>
      </c>
    </row>
    <row r="764" ht="14.25" customHeight="1">
      <c r="A764" s="3" t="s">
        <v>25</v>
      </c>
      <c r="B764" s="3" t="s">
        <v>41</v>
      </c>
      <c r="C764" s="3" t="s">
        <v>44</v>
      </c>
      <c r="D764" s="3" t="s">
        <v>34</v>
      </c>
      <c r="E764" s="3" t="s">
        <v>43</v>
      </c>
      <c r="F764" s="3">
        <v>237.0</v>
      </c>
      <c r="G764" s="4" t="s">
        <v>22</v>
      </c>
      <c r="H764" s="3">
        <v>3.8799223721673104</v>
      </c>
      <c r="K764" s="9" t="str">
        <f>IFERROR(__xludf.DUMMYFUNCTION("""COMPUTED_VALUE"""),"TT Off South")</f>
        <v>TT Off South</v>
      </c>
      <c r="L764" s="9" t="str">
        <f>IFERROR(__xludf.DUMMYFUNCTION("""COMPUTED_VALUE"""),"Wonderland")</f>
        <v>Wonderland</v>
      </c>
      <c r="M764" s="9" t="str">
        <f>IFERROR(__xludf.DUMMYFUNCTION("""COMPUTED_VALUE"""),"Happy Kids")</f>
        <v>Happy Kids</v>
      </c>
      <c r="N764" s="9" t="str">
        <f>IFERROR(__xludf.DUMMYFUNCTION("""COMPUTED_VALUE"""),"Vanilla")</f>
        <v>Vanilla</v>
      </c>
      <c r="O764" s="9" t="str">
        <f>IFERROR(__xludf.DUMMYFUNCTION("""COMPUTED_VALUE"""),"PLBT")</f>
        <v>PLBT</v>
      </c>
      <c r="P764" s="9">
        <f>IFERROR(__xludf.DUMMYFUNCTION("""COMPUTED_VALUE"""),237.0)</f>
        <v>237</v>
      </c>
      <c r="Q764" s="9" t="str">
        <f>IFERROR(__xludf.DUMMYFUNCTION("""COMPUTED_VALUE"""),"Q4'23")</f>
        <v>Q4'23</v>
      </c>
      <c r="R764" s="9">
        <f>IFERROR(__xludf.DUMMYFUNCTION("""COMPUTED_VALUE"""),7.83885696442764)</f>
        <v>7.838856964</v>
      </c>
    </row>
    <row r="765" ht="14.25" customHeight="1">
      <c r="A765" s="3" t="s">
        <v>26</v>
      </c>
      <c r="B765" s="3" t="s">
        <v>11</v>
      </c>
      <c r="C765" s="3" t="s">
        <v>27</v>
      </c>
      <c r="D765" s="3" t="s">
        <v>30</v>
      </c>
      <c r="E765" s="3" t="s">
        <v>14</v>
      </c>
      <c r="F765" s="3">
        <v>1000.0</v>
      </c>
      <c r="G765" s="4" t="s">
        <v>15</v>
      </c>
      <c r="H765" s="3">
        <v>0.7258999327806859</v>
      </c>
    </row>
    <row r="766" ht="14.25" customHeight="1">
      <c r="A766" s="3" t="s">
        <v>26</v>
      </c>
      <c r="B766" s="3" t="s">
        <v>11</v>
      </c>
      <c r="C766" s="3" t="s">
        <v>27</v>
      </c>
      <c r="D766" s="3" t="s">
        <v>30</v>
      </c>
      <c r="E766" s="3" t="s">
        <v>14</v>
      </c>
      <c r="F766" s="3">
        <v>1000.0</v>
      </c>
      <c r="G766" s="4" t="s">
        <v>16</v>
      </c>
      <c r="H766" s="3">
        <v>0.7636107203510838</v>
      </c>
    </row>
    <row r="767" ht="14.25" customHeight="1">
      <c r="A767" s="3" t="s">
        <v>26</v>
      </c>
      <c r="B767" s="3" t="s">
        <v>11</v>
      </c>
      <c r="C767" s="3" t="s">
        <v>27</v>
      </c>
      <c r="D767" s="3" t="s">
        <v>30</v>
      </c>
      <c r="E767" s="3" t="s">
        <v>14</v>
      </c>
      <c r="F767" s="3">
        <v>1000.0</v>
      </c>
      <c r="G767" s="4" t="s">
        <v>17</v>
      </c>
      <c r="H767" s="3">
        <v>0.7261683815686701</v>
      </c>
    </row>
    <row r="768" ht="14.25" customHeight="1">
      <c r="A768" s="3" t="s">
        <v>26</v>
      </c>
      <c r="B768" s="3" t="s">
        <v>11</v>
      </c>
      <c r="C768" s="3" t="s">
        <v>27</v>
      </c>
      <c r="D768" s="3" t="s">
        <v>30</v>
      </c>
      <c r="E768" s="3" t="s">
        <v>14</v>
      </c>
      <c r="F768" s="3">
        <v>1000.0</v>
      </c>
      <c r="G768" s="4" t="s">
        <v>18</v>
      </c>
      <c r="H768" s="3">
        <v>0.7202867356834164</v>
      </c>
    </row>
    <row r="769" ht="14.25" customHeight="1">
      <c r="A769" s="3" t="s">
        <v>26</v>
      </c>
      <c r="B769" s="3" t="s">
        <v>11</v>
      </c>
      <c r="C769" s="3" t="s">
        <v>27</v>
      </c>
      <c r="D769" s="3" t="s">
        <v>30</v>
      </c>
      <c r="E769" s="3" t="s">
        <v>14</v>
      </c>
      <c r="F769" s="3">
        <v>1000.0</v>
      </c>
      <c r="G769" s="4" t="s">
        <v>19</v>
      </c>
      <c r="H769" s="3">
        <v>0.6884742839731517</v>
      </c>
    </row>
    <row r="770" ht="14.25" customHeight="1">
      <c r="A770" s="3" t="s">
        <v>26</v>
      </c>
      <c r="B770" s="3" t="s">
        <v>11</v>
      </c>
      <c r="C770" s="3" t="s">
        <v>27</v>
      </c>
      <c r="D770" s="3" t="s">
        <v>30</v>
      </c>
      <c r="E770" s="3" t="s">
        <v>14</v>
      </c>
      <c r="F770" s="3">
        <v>1000.0</v>
      </c>
      <c r="G770" s="4" t="s">
        <v>20</v>
      </c>
      <c r="H770" s="3">
        <v>0.6973897394736737</v>
      </c>
    </row>
    <row r="771" ht="14.25" customHeight="1">
      <c r="A771" s="3" t="s">
        <v>26</v>
      </c>
      <c r="B771" s="3" t="s">
        <v>11</v>
      </c>
      <c r="C771" s="3" t="s">
        <v>27</v>
      </c>
      <c r="D771" s="3" t="s">
        <v>30</v>
      </c>
      <c r="E771" s="3" t="s">
        <v>14</v>
      </c>
      <c r="F771" s="3">
        <v>1000.0</v>
      </c>
      <c r="G771" s="4" t="s">
        <v>21</v>
      </c>
      <c r="H771" s="3">
        <v>0.6152513085424883</v>
      </c>
    </row>
    <row r="772" ht="14.25" customHeight="1">
      <c r="A772" s="3" t="s">
        <v>26</v>
      </c>
      <c r="B772" s="3" t="s">
        <v>11</v>
      </c>
      <c r="C772" s="3" t="s">
        <v>27</v>
      </c>
      <c r="D772" s="3" t="s">
        <v>30</v>
      </c>
      <c r="E772" s="3" t="s">
        <v>14</v>
      </c>
      <c r="F772" s="3">
        <v>1000.0</v>
      </c>
      <c r="G772" s="4" t="s">
        <v>22</v>
      </c>
      <c r="H772" s="3">
        <v>0.6287103785486616</v>
      </c>
    </row>
    <row r="773" ht="14.25" customHeight="1">
      <c r="A773" s="3" t="s">
        <v>26</v>
      </c>
      <c r="B773" s="3" t="s">
        <v>11</v>
      </c>
      <c r="C773" s="3" t="s">
        <v>27</v>
      </c>
      <c r="D773" s="3" t="s">
        <v>13</v>
      </c>
      <c r="E773" s="3" t="s">
        <v>14</v>
      </c>
      <c r="F773" s="3">
        <v>1000.0</v>
      </c>
      <c r="G773" s="4" t="s">
        <v>15</v>
      </c>
      <c r="H773" s="3">
        <v>1.0543019202300643</v>
      </c>
    </row>
    <row r="774" ht="14.25" customHeight="1">
      <c r="A774" s="3" t="s">
        <v>26</v>
      </c>
      <c r="B774" s="3" t="s">
        <v>11</v>
      </c>
      <c r="C774" s="3" t="s">
        <v>27</v>
      </c>
      <c r="D774" s="3" t="s">
        <v>13</v>
      </c>
      <c r="E774" s="3" t="s">
        <v>14</v>
      </c>
      <c r="F774" s="3">
        <v>1000.0</v>
      </c>
      <c r="G774" s="4" t="s">
        <v>16</v>
      </c>
      <c r="H774" s="3">
        <v>1.1137506968875657</v>
      </c>
    </row>
    <row r="775" ht="14.25" customHeight="1">
      <c r="A775" s="3" t="s">
        <v>26</v>
      </c>
      <c r="B775" s="3" t="s">
        <v>11</v>
      </c>
      <c r="C775" s="3" t="s">
        <v>27</v>
      </c>
      <c r="D775" s="3" t="s">
        <v>13</v>
      </c>
      <c r="E775" s="3" t="s">
        <v>14</v>
      </c>
      <c r="F775" s="3">
        <v>1000.0</v>
      </c>
      <c r="G775" s="4" t="s">
        <v>17</v>
      </c>
      <c r="H775" s="3">
        <v>1.062658316203149</v>
      </c>
    </row>
    <row r="776" ht="14.25" customHeight="1">
      <c r="A776" s="3" t="s">
        <v>26</v>
      </c>
      <c r="B776" s="3" t="s">
        <v>11</v>
      </c>
      <c r="C776" s="3" t="s">
        <v>27</v>
      </c>
      <c r="D776" s="3" t="s">
        <v>13</v>
      </c>
      <c r="E776" s="3" t="s">
        <v>14</v>
      </c>
      <c r="F776" s="3">
        <v>1000.0</v>
      </c>
      <c r="G776" s="4" t="s">
        <v>18</v>
      </c>
      <c r="H776" s="3">
        <v>0.9812348000044001</v>
      </c>
    </row>
    <row r="777" ht="14.25" customHeight="1">
      <c r="A777" s="3" t="s">
        <v>26</v>
      </c>
      <c r="B777" s="3" t="s">
        <v>11</v>
      </c>
      <c r="C777" s="3" t="s">
        <v>27</v>
      </c>
      <c r="D777" s="3" t="s">
        <v>13</v>
      </c>
      <c r="E777" s="3" t="s">
        <v>14</v>
      </c>
      <c r="F777" s="3">
        <v>1000.0</v>
      </c>
      <c r="G777" s="4" t="s">
        <v>19</v>
      </c>
      <c r="H777" s="3">
        <v>0.9375647626439328</v>
      </c>
    </row>
    <row r="778" ht="14.25" customHeight="1">
      <c r="A778" s="3" t="s">
        <v>26</v>
      </c>
      <c r="B778" s="3" t="s">
        <v>11</v>
      </c>
      <c r="C778" s="3" t="s">
        <v>27</v>
      </c>
      <c r="D778" s="3" t="s">
        <v>13</v>
      </c>
      <c r="E778" s="3" t="s">
        <v>14</v>
      </c>
      <c r="F778" s="3">
        <v>1000.0</v>
      </c>
      <c r="G778" s="4" t="s">
        <v>20</v>
      </c>
      <c r="H778" s="3">
        <v>0.859889692581217</v>
      </c>
    </row>
    <row r="779" ht="14.25" customHeight="1">
      <c r="A779" s="3" t="s">
        <v>26</v>
      </c>
      <c r="B779" s="3" t="s">
        <v>11</v>
      </c>
      <c r="C779" s="3" t="s">
        <v>27</v>
      </c>
      <c r="D779" s="3" t="s">
        <v>13</v>
      </c>
      <c r="E779" s="3" t="s">
        <v>14</v>
      </c>
      <c r="F779" s="3">
        <v>1000.0</v>
      </c>
      <c r="G779" s="4" t="s">
        <v>21</v>
      </c>
      <c r="H779" s="3">
        <v>0.7440034844478612</v>
      </c>
    </row>
    <row r="780" ht="14.25" customHeight="1">
      <c r="A780" s="3" t="s">
        <v>26</v>
      </c>
      <c r="B780" s="3" t="s">
        <v>11</v>
      </c>
      <c r="C780" s="3" t="s">
        <v>27</v>
      </c>
      <c r="D780" s="3" t="s">
        <v>13</v>
      </c>
      <c r="E780" s="3" t="s">
        <v>14</v>
      </c>
      <c r="F780" s="3">
        <v>1000.0</v>
      </c>
      <c r="G780" s="4" t="s">
        <v>22</v>
      </c>
      <c r="H780" s="3">
        <v>0.7433492562720331</v>
      </c>
    </row>
    <row r="781" ht="14.25" customHeight="1">
      <c r="A781" s="3" t="s">
        <v>26</v>
      </c>
      <c r="B781" s="3" t="s">
        <v>11</v>
      </c>
      <c r="C781" s="3" t="s">
        <v>27</v>
      </c>
      <c r="D781" s="3" t="s">
        <v>13</v>
      </c>
      <c r="E781" s="3" t="s">
        <v>14</v>
      </c>
      <c r="F781" s="3">
        <v>110.0</v>
      </c>
      <c r="G781" s="4" t="s">
        <v>15</v>
      </c>
      <c r="H781" s="3">
        <v>3.560757162837849</v>
      </c>
    </row>
    <row r="782" ht="14.25" customHeight="1">
      <c r="A782" s="3" t="s">
        <v>26</v>
      </c>
      <c r="B782" s="3" t="s">
        <v>11</v>
      </c>
      <c r="C782" s="3" t="s">
        <v>27</v>
      </c>
      <c r="D782" s="3" t="s">
        <v>13</v>
      </c>
      <c r="E782" s="3" t="s">
        <v>14</v>
      </c>
      <c r="F782" s="3">
        <v>110.0</v>
      </c>
      <c r="G782" s="4" t="s">
        <v>16</v>
      </c>
      <c r="H782" s="3">
        <v>3.5932707571621187</v>
      </c>
    </row>
    <row r="783" ht="14.25" customHeight="1">
      <c r="A783" s="3" t="s">
        <v>26</v>
      </c>
      <c r="B783" s="3" t="s">
        <v>11</v>
      </c>
      <c r="C783" s="3" t="s">
        <v>27</v>
      </c>
      <c r="D783" s="3" t="s">
        <v>13</v>
      </c>
      <c r="E783" s="3" t="s">
        <v>14</v>
      </c>
      <c r="F783" s="3">
        <v>110.0</v>
      </c>
      <c r="G783" s="4" t="s">
        <v>17</v>
      </c>
      <c r="H783" s="3">
        <v>3.7699700307071495</v>
      </c>
    </row>
    <row r="784" ht="14.25" customHeight="1">
      <c r="A784" s="3" t="s">
        <v>26</v>
      </c>
      <c r="B784" s="3" t="s">
        <v>11</v>
      </c>
      <c r="C784" s="3" t="s">
        <v>27</v>
      </c>
      <c r="D784" s="3" t="s">
        <v>13</v>
      </c>
      <c r="E784" s="3" t="s">
        <v>14</v>
      </c>
      <c r="F784" s="3">
        <v>110.0</v>
      </c>
      <c r="G784" s="4" t="s">
        <v>18</v>
      </c>
      <c r="H784" s="3">
        <v>4.14575810168407</v>
      </c>
    </row>
    <row r="785" ht="14.25" customHeight="1">
      <c r="A785" s="3" t="s">
        <v>26</v>
      </c>
      <c r="B785" s="3" t="s">
        <v>11</v>
      </c>
      <c r="C785" s="3" t="s">
        <v>27</v>
      </c>
      <c r="D785" s="3" t="s">
        <v>13</v>
      </c>
      <c r="E785" s="3" t="s">
        <v>14</v>
      </c>
      <c r="F785" s="3">
        <v>110.0</v>
      </c>
      <c r="G785" s="4" t="s">
        <v>19</v>
      </c>
      <c r="H785" s="3">
        <v>4.273901685594825</v>
      </c>
    </row>
    <row r="786" ht="14.25" customHeight="1">
      <c r="A786" s="3" t="s">
        <v>26</v>
      </c>
      <c r="B786" s="3" t="s">
        <v>11</v>
      </c>
      <c r="C786" s="3" t="s">
        <v>27</v>
      </c>
      <c r="D786" s="3" t="s">
        <v>13</v>
      </c>
      <c r="E786" s="3" t="s">
        <v>14</v>
      </c>
      <c r="F786" s="3">
        <v>110.0</v>
      </c>
      <c r="G786" s="4" t="s">
        <v>20</v>
      </c>
      <c r="H786" s="3">
        <v>4.520238133169645</v>
      </c>
    </row>
    <row r="787" ht="14.25" customHeight="1">
      <c r="A787" s="3" t="s">
        <v>26</v>
      </c>
      <c r="B787" s="3" t="s">
        <v>11</v>
      </c>
      <c r="C787" s="3" t="s">
        <v>27</v>
      </c>
      <c r="D787" s="3" t="s">
        <v>13</v>
      </c>
      <c r="E787" s="3" t="s">
        <v>14</v>
      </c>
      <c r="F787" s="3">
        <v>110.0</v>
      </c>
      <c r="G787" s="4" t="s">
        <v>21</v>
      </c>
      <c r="H787" s="3">
        <v>4.8084548912795055</v>
      </c>
    </row>
    <row r="788" ht="14.25" customHeight="1">
      <c r="A788" s="3" t="s">
        <v>26</v>
      </c>
      <c r="B788" s="3" t="s">
        <v>11</v>
      </c>
      <c r="C788" s="3" t="s">
        <v>27</v>
      </c>
      <c r="D788" s="3" t="s">
        <v>13</v>
      </c>
      <c r="E788" s="3" t="s">
        <v>14</v>
      </c>
      <c r="F788" s="3">
        <v>110.0</v>
      </c>
      <c r="G788" s="4" t="s">
        <v>22</v>
      </c>
      <c r="H788" s="3">
        <v>4.817321468228637</v>
      </c>
    </row>
    <row r="789" ht="14.25" customHeight="1">
      <c r="A789" s="3" t="s">
        <v>26</v>
      </c>
      <c r="B789" s="3" t="s">
        <v>11</v>
      </c>
      <c r="C789" s="3" t="s">
        <v>27</v>
      </c>
      <c r="D789" s="3" t="s">
        <v>13</v>
      </c>
      <c r="E789" s="3" t="s">
        <v>14</v>
      </c>
      <c r="F789" s="3">
        <v>180.0</v>
      </c>
      <c r="G789" s="4" t="s">
        <v>15</v>
      </c>
      <c r="H789" s="3">
        <v>6.998585816280155</v>
      </c>
    </row>
    <row r="790" ht="14.25" customHeight="1">
      <c r="A790" s="3" t="s">
        <v>26</v>
      </c>
      <c r="B790" s="3" t="s">
        <v>11</v>
      </c>
      <c r="C790" s="3" t="s">
        <v>27</v>
      </c>
      <c r="D790" s="3" t="s">
        <v>13</v>
      </c>
      <c r="E790" s="3" t="s">
        <v>14</v>
      </c>
      <c r="F790" s="3">
        <v>180.0</v>
      </c>
      <c r="G790" s="4" t="s">
        <v>16</v>
      </c>
      <c r="H790" s="3">
        <v>6.954998218728664</v>
      </c>
    </row>
    <row r="791" ht="14.25" customHeight="1">
      <c r="A791" s="3" t="s">
        <v>26</v>
      </c>
      <c r="B791" s="3" t="s">
        <v>11</v>
      </c>
      <c r="C791" s="3" t="s">
        <v>27</v>
      </c>
      <c r="D791" s="3" t="s">
        <v>13</v>
      </c>
      <c r="E791" s="3" t="s">
        <v>14</v>
      </c>
      <c r="F791" s="3">
        <v>180.0</v>
      </c>
      <c r="G791" s="4" t="s">
        <v>17</v>
      </c>
      <c r="H791" s="3">
        <v>7.674928913603825</v>
      </c>
    </row>
    <row r="792" ht="14.25" customHeight="1">
      <c r="A792" s="3" t="s">
        <v>26</v>
      </c>
      <c r="B792" s="3" t="s">
        <v>11</v>
      </c>
      <c r="C792" s="3" t="s">
        <v>27</v>
      </c>
      <c r="D792" s="3" t="s">
        <v>13</v>
      </c>
      <c r="E792" s="3" t="s">
        <v>14</v>
      </c>
      <c r="F792" s="3">
        <v>180.0</v>
      </c>
      <c r="G792" s="4" t="s">
        <v>18</v>
      </c>
      <c r="H792" s="3">
        <v>7.903584175758849</v>
      </c>
    </row>
    <row r="793" ht="14.25" customHeight="1">
      <c r="A793" s="3" t="s">
        <v>26</v>
      </c>
      <c r="B793" s="3" t="s">
        <v>11</v>
      </c>
      <c r="C793" s="3" t="s">
        <v>27</v>
      </c>
      <c r="D793" s="3" t="s">
        <v>13</v>
      </c>
      <c r="E793" s="3" t="s">
        <v>14</v>
      </c>
      <c r="F793" s="3">
        <v>180.0</v>
      </c>
      <c r="G793" s="4" t="s">
        <v>19</v>
      </c>
      <c r="H793" s="3">
        <v>8.269163980375058</v>
      </c>
    </row>
    <row r="794" ht="14.25" customHeight="1">
      <c r="A794" s="3" t="s">
        <v>26</v>
      </c>
      <c r="B794" s="3" t="s">
        <v>11</v>
      </c>
      <c r="C794" s="3" t="s">
        <v>27</v>
      </c>
      <c r="D794" s="3" t="s">
        <v>13</v>
      </c>
      <c r="E794" s="3" t="s">
        <v>14</v>
      </c>
      <c r="F794" s="3">
        <v>180.0</v>
      </c>
      <c r="G794" s="4" t="s">
        <v>20</v>
      </c>
      <c r="H794" s="3">
        <v>8.501329471754417</v>
      </c>
    </row>
    <row r="795" ht="14.25" customHeight="1">
      <c r="A795" s="3" t="s">
        <v>26</v>
      </c>
      <c r="B795" s="3" t="s">
        <v>11</v>
      </c>
      <c r="C795" s="3" t="s">
        <v>27</v>
      </c>
      <c r="D795" s="3" t="s">
        <v>13</v>
      </c>
      <c r="E795" s="3" t="s">
        <v>14</v>
      </c>
      <c r="F795" s="3">
        <v>180.0</v>
      </c>
      <c r="G795" s="4" t="s">
        <v>21</v>
      </c>
      <c r="H795" s="3">
        <v>8.625424478957058</v>
      </c>
    </row>
    <row r="796" ht="14.25" customHeight="1">
      <c r="A796" s="3" t="s">
        <v>26</v>
      </c>
      <c r="B796" s="3" t="s">
        <v>11</v>
      </c>
      <c r="C796" s="3" t="s">
        <v>27</v>
      </c>
      <c r="D796" s="3" t="s">
        <v>13</v>
      </c>
      <c r="E796" s="3" t="s">
        <v>14</v>
      </c>
      <c r="F796" s="3">
        <v>180.0</v>
      </c>
      <c r="G796" s="4" t="s">
        <v>22</v>
      </c>
      <c r="H796" s="3">
        <v>9.275760910444117</v>
      </c>
    </row>
    <row r="797" ht="14.25" customHeight="1">
      <c r="A797" s="3" t="s">
        <v>26</v>
      </c>
      <c r="B797" s="3" t="s">
        <v>11</v>
      </c>
      <c r="C797" s="3" t="s">
        <v>12</v>
      </c>
      <c r="D797" s="3" t="s">
        <v>28</v>
      </c>
      <c r="E797" s="3" t="s">
        <v>29</v>
      </c>
      <c r="F797" s="3">
        <v>220.0</v>
      </c>
      <c r="G797" s="4" t="s">
        <v>15</v>
      </c>
      <c r="H797" s="3">
        <v>2.319390376310219</v>
      </c>
    </row>
    <row r="798" ht="14.25" customHeight="1">
      <c r="A798" s="3" t="s">
        <v>26</v>
      </c>
      <c r="B798" s="3" t="s">
        <v>11</v>
      </c>
      <c r="C798" s="3" t="s">
        <v>12</v>
      </c>
      <c r="D798" s="3" t="s">
        <v>28</v>
      </c>
      <c r="E798" s="3" t="s">
        <v>29</v>
      </c>
      <c r="F798" s="3">
        <v>220.0</v>
      </c>
      <c r="G798" s="4" t="s">
        <v>16</v>
      </c>
      <c r="H798" s="3">
        <v>2.5226554075550833</v>
      </c>
    </row>
    <row r="799" ht="14.25" customHeight="1">
      <c r="A799" s="3" t="s">
        <v>26</v>
      </c>
      <c r="B799" s="3" t="s">
        <v>11</v>
      </c>
      <c r="C799" s="3" t="s">
        <v>12</v>
      </c>
      <c r="D799" s="3" t="s">
        <v>28</v>
      </c>
      <c r="E799" s="3" t="s">
        <v>29</v>
      </c>
      <c r="F799" s="3">
        <v>220.0</v>
      </c>
      <c r="G799" s="4" t="s">
        <v>17</v>
      </c>
      <c r="H799" s="3">
        <v>2.443549611324449</v>
      </c>
    </row>
    <row r="800" ht="14.25" customHeight="1">
      <c r="A800" s="3" t="s">
        <v>26</v>
      </c>
      <c r="B800" s="3" t="s">
        <v>11</v>
      </c>
      <c r="C800" s="3" t="s">
        <v>12</v>
      </c>
      <c r="D800" s="3" t="s">
        <v>28</v>
      </c>
      <c r="E800" s="3" t="s">
        <v>29</v>
      </c>
      <c r="F800" s="3">
        <v>220.0</v>
      </c>
      <c r="G800" s="4" t="s">
        <v>18</v>
      </c>
      <c r="H800" s="3">
        <v>2.5858689832815314</v>
      </c>
    </row>
    <row r="801" ht="14.25" customHeight="1">
      <c r="A801" s="3" t="s">
        <v>26</v>
      </c>
      <c r="B801" s="3" t="s">
        <v>11</v>
      </c>
      <c r="C801" s="3" t="s">
        <v>12</v>
      </c>
      <c r="D801" s="3" t="s">
        <v>28</v>
      </c>
      <c r="E801" s="3" t="s">
        <v>29</v>
      </c>
      <c r="F801" s="3">
        <v>220.0</v>
      </c>
      <c r="G801" s="4" t="s">
        <v>19</v>
      </c>
      <c r="H801" s="3">
        <v>2.4424650997679405</v>
      </c>
    </row>
    <row r="802" ht="14.25" customHeight="1">
      <c r="A802" s="3" t="s">
        <v>26</v>
      </c>
      <c r="B802" s="3" t="s">
        <v>11</v>
      </c>
      <c r="C802" s="3" t="s">
        <v>12</v>
      </c>
      <c r="D802" s="3" t="s">
        <v>28</v>
      </c>
      <c r="E802" s="3" t="s">
        <v>29</v>
      </c>
      <c r="F802" s="3">
        <v>220.0</v>
      </c>
      <c r="G802" s="4" t="s">
        <v>20</v>
      </c>
      <c r="H802" s="3">
        <v>2.32017721119468</v>
      </c>
    </row>
    <row r="803" ht="14.25" customHeight="1">
      <c r="A803" s="3" t="s">
        <v>26</v>
      </c>
      <c r="B803" s="3" t="s">
        <v>11</v>
      </c>
      <c r="C803" s="3" t="s">
        <v>12</v>
      </c>
      <c r="D803" s="3" t="s">
        <v>28</v>
      </c>
      <c r="E803" s="3" t="s">
        <v>29</v>
      </c>
      <c r="F803" s="3">
        <v>220.0</v>
      </c>
      <c r="G803" s="4" t="s">
        <v>21</v>
      </c>
      <c r="H803" s="3">
        <v>2.4971962924160134</v>
      </c>
    </row>
    <row r="804" ht="14.25" customHeight="1">
      <c r="A804" s="3" t="s">
        <v>26</v>
      </c>
      <c r="B804" s="3" t="s">
        <v>11</v>
      </c>
      <c r="C804" s="3" t="s">
        <v>12</v>
      </c>
      <c r="D804" s="3" t="s">
        <v>28</v>
      </c>
      <c r="E804" s="3" t="s">
        <v>29</v>
      </c>
      <c r="F804" s="3">
        <v>220.0</v>
      </c>
      <c r="G804" s="4" t="s">
        <v>22</v>
      </c>
      <c r="H804" s="3">
        <v>2.4682411602524232</v>
      </c>
    </row>
    <row r="805" ht="14.25" customHeight="1">
      <c r="A805" s="3" t="s">
        <v>26</v>
      </c>
      <c r="B805" s="3" t="s">
        <v>11</v>
      </c>
      <c r="C805" s="3" t="s">
        <v>12</v>
      </c>
      <c r="D805" s="3" t="s">
        <v>30</v>
      </c>
      <c r="E805" s="3" t="s">
        <v>29</v>
      </c>
      <c r="F805" s="3">
        <v>220.0</v>
      </c>
      <c r="G805" s="4" t="s">
        <v>15</v>
      </c>
      <c r="H805" s="3">
        <v>5.456243712835496</v>
      </c>
    </row>
    <row r="806" ht="14.25" customHeight="1">
      <c r="A806" s="3" t="s">
        <v>26</v>
      </c>
      <c r="B806" s="3" t="s">
        <v>11</v>
      </c>
      <c r="C806" s="3" t="s">
        <v>12</v>
      </c>
      <c r="D806" s="3" t="s">
        <v>30</v>
      </c>
      <c r="E806" s="3" t="s">
        <v>29</v>
      </c>
      <c r="F806" s="3">
        <v>220.0</v>
      </c>
      <c r="G806" s="4" t="s">
        <v>16</v>
      </c>
      <c r="H806" s="3">
        <v>5.501062983264447</v>
      </c>
    </row>
    <row r="807" ht="14.25" customHeight="1">
      <c r="A807" s="3" t="s">
        <v>26</v>
      </c>
      <c r="B807" s="3" t="s">
        <v>11</v>
      </c>
      <c r="C807" s="3" t="s">
        <v>12</v>
      </c>
      <c r="D807" s="3" t="s">
        <v>30</v>
      </c>
      <c r="E807" s="3" t="s">
        <v>29</v>
      </c>
      <c r="F807" s="3">
        <v>220.0</v>
      </c>
      <c r="G807" s="4" t="s">
        <v>17</v>
      </c>
      <c r="H807" s="3">
        <v>5.436748970118554</v>
      </c>
    </row>
    <row r="808" ht="14.25" customHeight="1">
      <c r="A808" s="3" t="s">
        <v>26</v>
      </c>
      <c r="B808" s="3" t="s">
        <v>11</v>
      </c>
      <c r="C808" s="3" t="s">
        <v>12</v>
      </c>
      <c r="D808" s="3" t="s">
        <v>30</v>
      </c>
      <c r="E808" s="3" t="s">
        <v>29</v>
      </c>
      <c r="F808" s="3">
        <v>220.0</v>
      </c>
      <c r="G808" s="4" t="s">
        <v>18</v>
      </c>
      <c r="H808" s="3">
        <v>5.900014361886823</v>
      </c>
    </row>
    <row r="809" ht="14.25" customHeight="1">
      <c r="A809" s="3" t="s">
        <v>26</v>
      </c>
      <c r="B809" s="3" t="s">
        <v>11</v>
      </c>
      <c r="C809" s="3" t="s">
        <v>12</v>
      </c>
      <c r="D809" s="3" t="s">
        <v>30</v>
      </c>
      <c r="E809" s="3" t="s">
        <v>29</v>
      </c>
      <c r="F809" s="3">
        <v>220.0</v>
      </c>
      <c r="G809" s="4" t="s">
        <v>19</v>
      </c>
      <c r="H809" s="3">
        <v>5.944358233970017</v>
      </c>
    </row>
    <row r="810" ht="14.25" customHeight="1">
      <c r="A810" s="3" t="s">
        <v>26</v>
      </c>
      <c r="B810" s="3" t="s">
        <v>11</v>
      </c>
      <c r="C810" s="3" t="s">
        <v>12</v>
      </c>
      <c r="D810" s="3" t="s">
        <v>30</v>
      </c>
      <c r="E810" s="3" t="s">
        <v>29</v>
      </c>
      <c r="F810" s="3">
        <v>220.0</v>
      </c>
      <c r="G810" s="4" t="s">
        <v>20</v>
      </c>
      <c r="H810" s="3">
        <v>5.600497816990516</v>
      </c>
    </row>
    <row r="811" ht="14.25" customHeight="1">
      <c r="A811" s="3" t="s">
        <v>26</v>
      </c>
      <c r="B811" s="3" t="s">
        <v>11</v>
      </c>
      <c r="C811" s="3" t="s">
        <v>12</v>
      </c>
      <c r="D811" s="3" t="s">
        <v>30</v>
      </c>
      <c r="E811" s="3" t="s">
        <v>29</v>
      </c>
      <c r="F811" s="3">
        <v>220.0</v>
      </c>
      <c r="G811" s="4" t="s">
        <v>21</v>
      </c>
      <c r="H811" s="3">
        <v>5.815717106142515</v>
      </c>
    </row>
    <row r="812" ht="14.25" customHeight="1">
      <c r="A812" s="3" t="s">
        <v>26</v>
      </c>
      <c r="B812" s="3" t="s">
        <v>11</v>
      </c>
      <c r="C812" s="3" t="s">
        <v>12</v>
      </c>
      <c r="D812" s="3" t="s">
        <v>30</v>
      </c>
      <c r="E812" s="3" t="s">
        <v>29</v>
      </c>
      <c r="F812" s="3">
        <v>220.0</v>
      </c>
      <c r="G812" s="4" t="s">
        <v>22</v>
      </c>
      <c r="H812" s="3">
        <v>5.336771282471147</v>
      </c>
    </row>
    <row r="813" ht="14.25" customHeight="1">
      <c r="A813" s="3" t="s">
        <v>26</v>
      </c>
      <c r="B813" s="3" t="s">
        <v>11</v>
      </c>
      <c r="C813" s="3" t="s">
        <v>12</v>
      </c>
      <c r="D813" s="3" t="s">
        <v>31</v>
      </c>
      <c r="E813" s="3" t="s">
        <v>29</v>
      </c>
      <c r="F813" s="3">
        <v>220.0</v>
      </c>
      <c r="G813" s="4" t="s">
        <v>15</v>
      </c>
      <c r="H813" s="3">
        <v>1.7975378646036857</v>
      </c>
    </row>
    <row r="814" ht="14.25" customHeight="1">
      <c r="A814" s="3" t="s">
        <v>26</v>
      </c>
      <c r="B814" s="3" t="s">
        <v>11</v>
      </c>
      <c r="C814" s="3" t="s">
        <v>12</v>
      </c>
      <c r="D814" s="3" t="s">
        <v>31</v>
      </c>
      <c r="E814" s="3" t="s">
        <v>29</v>
      </c>
      <c r="F814" s="3">
        <v>220.0</v>
      </c>
      <c r="G814" s="4" t="s">
        <v>16</v>
      </c>
      <c r="H814" s="3">
        <v>1.906562767771339</v>
      </c>
    </row>
    <row r="815" ht="14.25" customHeight="1">
      <c r="A815" s="3" t="s">
        <v>26</v>
      </c>
      <c r="B815" s="3" t="s">
        <v>11</v>
      </c>
      <c r="C815" s="3" t="s">
        <v>12</v>
      </c>
      <c r="D815" s="3" t="s">
        <v>31</v>
      </c>
      <c r="E815" s="3" t="s">
        <v>29</v>
      </c>
      <c r="F815" s="3">
        <v>220.0</v>
      </c>
      <c r="G815" s="4" t="s">
        <v>17</v>
      </c>
      <c r="H815" s="3">
        <v>1.888989941793065</v>
      </c>
    </row>
    <row r="816" ht="14.25" customHeight="1">
      <c r="A816" s="3" t="s">
        <v>26</v>
      </c>
      <c r="B816" s="3" t="s">
        <v>11</v>
      </c>
      <c r="C816" s="3" t="s">
        <v>12</v>
      </c>
      <c r="D816" s="3" t="s">
        <v>31</v>
      </c>
      <c r="E816" s="3" t="s">
        <v>29</v>
      </c>
      <c r="F816" s="3">
        <v>220.0</v>
      </c>
      <c r="G816" s="4" t="s">
        <v>18</v>
      </c>
      <c r="H816" s="3">
        <v>1.875126169424091</v>
      </c>
    </row>
    <row r="817" ht="14.25" customHeight="1">
      <c r="A817" s="3" t="s">
        <v>26</v>
      </c>
      <c r="B817" s="3" t="s">
        <v>11</v>
      </c>
      <c r="C817" s="3" t="s">
        <v>12</v>
      </c>
      <c r="D817" s="3" t="s">
        <v>31</v>
      </c>
      <c r="E817" s="3" t="s">
        <v>29</v>
      </c>
      <c r="F817" s="3">
        <v>220.0</v>
      </c>
      <c r="G817" s="4" t="s">
        <v>19</v>
      </c>
      <c r="H817" s="3">
        <v>2.008925090900119</v>
      </c>
    </row>
    <row r="818" ht="14.25" customHeight="1">
      <c r="A818" s="3" t="s">
        <v>26</v>
      </c>
      <c r="B818" s="3" t="s">
        <v>11</v>
      </c>
      <c r="C818" s="3" t="s">
        <v>12</v>
      </c>
      <c r="D818" s="3" t="s">
        <v>31</v>
      </c>
      <c r="E818" s="3" t="s">
        <v>29</v>
      </c>
      <c r="F818" s="3">
        <v>220.0</v>
      </c>
      <c r="G818" s="4" t="s">
        <v>20</v>
      </c>
      <c r="H818" s="3">
        <v>1.7889589307205693</v>
      </c>
    </row>
    <row r="819" ht="14.25" customHeight="1">
      <c r="A819" s="3" t="s">
        <v>26</v>
      </c>
      <c r="B819" s="3" t="s">
        <v>11</v>
      </c>
      <c r="C819" s="3" t="s">
        <v>12</v>
      </c>
      <c r="D819" s="3" t="s">
        <v>31</v>
      </c>
      <c r="E819" s="3" t="s">
        <v>29</v>
      </c>
      <c r="F819" s="3">
        <v>220.0</v>
      </c>
      <c r="G819" s="4" t="s">
        <v>21</v>
      </c>
      <c r="H819" s="3">
        <v>1.8049896531100367</v>
      </c>
    </row>
    <row r="820" ht="14.25" customHeight="1">
      <c r="A820" s="3" t="s">
        <v>26</v>
      </c>
      <c r="B820" s="3" t="s">
        <v>11</v>
      </c>
      <c r="C820" s="3" t="s">
        <v>12</v>
      </c>
      <c r="D820" s="3" t="s">
        <v>31</v>
      </c>
      <c r="E820" s="3" t="s">
        <v>29</v>
      </c>
      <c r="F820" s="3">
        <v>220.0</v>
      </c>
      <c r="G820" s="4" t="s">
        <v>22</v>
      </c>
      <c r="H820" s="3">
        <v>1.7346563944015427</v>
      </c>
    </row>
    <row r="821" ht="14.25" customHeight="1">
      <c r="A821" s="3" t="s">
        <v>26</v>
      </c>
      <c r="B821" s="3" t="s">
        <v>11</v>
      </c>
      <c r="C821" s="3" t="s">
        <v>12</v>
      </c>
      <c r="D821" s="3" t="s">
        <v>13</v>
      </c>
      <c r="E821" s="3" t="s">
        <v>14</v>
      </c>
      <c r="F821" s="3">
        <v>110.0</v>
      </c>
      <c r="G821" s="4" t="s">
        <v>15</v>
      </c>
      <c r="H821" s="3">
        <v>3.6387882825162627</v>
      </c>
    </row>
    <row r="822" ht="14.25" customHeight="1">
      <c r="A822" s="3" t="s">
        <v>26</v>
      </c>
      <c r="B822" s="3" t="s">
        <v>11</v>
      </c>
      <c r="C822" s="3" t="s">
        <v>12</v>
      </c>
      <c r="D822" s="3" t="s">
        <v>13</v>
      </c>
      <c r="E822" s="3" t="s">
        <v>14</v>
      </c>
      <c r="F822" s="3">
        <v>110.0</v>
      </c>
      <c r="G822" s="4" t="s">
        <v>16</v>
      </c>
      <c r="H822" s="3">
        <v>3.0823391316270037</v>
      </c>
    </row>
    <row r="823" ht="14.25" customHeight="1">
      <c r="A823" s="3" t="s">
        <v>26</v>
      </c>
      <c r="B823" s="3" t="s">
        <v>11</v>
      </c>
      <c r="C823" s="3" t="s">
        <v>12</v>
      </c>
      <c r="D823" s="3" t="s">
        <v>13</v>
      </c>
      <c r="E823" s="3" t="s">
        <v>14</v>
      </c>
      <c r="F823" s="3">
        <v>110.0</v>
      </c>
      <c r="G823" s="4" t="s">
        <v>17</v>
      </c>
      <c r="H823" s="3">
        <v>3.1347111448085387</v>
      </c>
    </row>
    <row r="824" ht="14.25" customHeight="1">
      <c r="A824" s="3" t="s">
        <v>26</v>
      </c>
      <c r="B824" s="3" t="s">
        <v>11</v>
      </c>
      <c r="C824" s="3" t="s">
        <v>12</v>
      </c>
      <c r="D824" s="3" t="s">
        <v>13</v>
      </c>
      <c r="E824" s="3" t="s">
        <v>14</v>
      </c>
      <c r="F824" s="3">
        <v>110.0</v>
      </c>
      <c r="G824" s="4" t="s">
        <v>18</v>
      </c>
      <c r="H824" s="3">
        <v>3.085934940743916</v>
      </c>
    </row>
    <row r="825" ht="14.25" customHeight="1">
      <c r="A825" s="3" t="s">
        <v>26</v>
      </c>
      <c r="B825" s="3" t="s">
        <v>11</v>
      </c>
      <c r="C825" s="3" t="s">
        <v>12</v>
      </c>
      <c r="D825" s="3" t="s">
        <v>13</v>
      </c>
      <c r="E825" s="3" t="s">
        <v>14</v>
      </c>
      <c r="F825" s="3">
        <v>110.0</v>
      </c>
      <c r="G825" s="4" t="s">
        <v>19</v>
      </c>
      <c r="H825" s="3">
        <v>2.846071451657136</v>
      </c>
    </row>
    <row r="826" ht="14.25" customHeight="1">
      <c r="A826" s="3" t="s">
        <v>26</v>
      </c>
      <c r="B826" s="3" t="s">
        <v>11</v>
      </c>
      <c r="C826" s="3" t="s">
        <v>12</v>
      </c>
      <c r="D826" s="3" t="s">
        <v>13</v>
      </c>
      <c r="E826" s="3" t="s">
        <v>14</v>
      </c>
      <c r="F826" s="3">
        <v>110.0</v>
      </c>
      <c r="G826" s="4" t="s">
        <v>20</v>
      </c>
      <c r="H826" s="3">
        <v>2.549086347006466</v>
      </c>
    </row>
    <row r="827" ht="14.25" customHeight="1">
      <c r="A827" s="3" t="s">
        <v>26</v>
      </c>
      <c r="B827" s="3" t="s">
        <v>11</v>
      </c>
      <c r="C827" s="3" t="s">
        <v>12</v>
      </c>
      <c r="D827" s="3" t="s">
        <v>13</v>
      </c>
      <c r="E827" s="3" t="s">
        <v>14</v>
      </c>
      <c r="F827" s="3">
        <v>110.0</v>
      </c>
      <c r="G827" s="4" t="s">
        <v>21</v>
      </c>
      <c r="H827" s="3">
        <v>2.416287079127589</v>
      </c>
    </row>
    <row r="828" ht="14.25" customHeight="1">
      <c r="A828" s="3" t="s">
        <v>26</v>
      </c>
      <c r="B828" s="3" t="s">
        <v>11</v>
      </c>
      <c r="C828" s="3" t="s">
        <v>12</v>
      </c>
      <c r="D828" s="3" t="s">
        <v>13</v>
      </c>
      <c r="E828" s="3" t="s">
        <v>14</v>
      </c>
      <c r="F828" s="3">
        <v>110.0</v>
      </c>
      <c r="G828" s="4" t="s">
        <v>22</v>
      </c>
      <c r="H828" s="3">
        <v>2.2292935774907083</v>
      </c>
    </row>
    <row r="829" ht="14.25" customHeight="1">
      <c r="A829" s="3" t="s">
        <v>26</v>
      </c>
      <c r="B829" s="3" t="s">
        <v>11</v>
      </c>
      <c r="C829" s="3" t="s">
        <v>12</v>
      </c>
      <c r="D829" s="3" t="s">
        <v>13</v>
      </c>
      <c r="E829" s="3" t="s">
        <v>14</v>
      </c>
      <c r="F829" s="3">
        <v>180.0</v>
      </c>
      <c r="G829" s="4" t="s">
        <v>15</v>
      </c>
      <c r="H829" s="3">
        <v>4.6697491002142355</v>
      </c>
    </row>
    <row r="830" ht="14.25" customHeight="1">
      <c r="A830" s="3" t="s">
        <v>26</v>
      </c>
      <c r="B830" s="3" t="s">
        <v>11</v>
      </c>
      <c r="C830" s="3" t="s">
        <v>12</v>
      </c>
      <c r="D830" s="3" t="s">
        <v>13</v>
      </c>
      <c r="E830" s="3" t="s">
        <v>14</v>
      </c>
      <c r="F830" s="3">
        <v>180.0</v>
      </c>
      <c r="G830" s="4" t="s">
        <v>16</v>
      </c>
      <c r="H830" s="3">
        <v>4.537243991445042</v>
      </c>
    </row>
    <row r="831" ht="14.25" customHeight="1">
      <c r="A831" s="3" t="s">
        <v>26</v>
      </c>
      <c r="B831" s="3" t="s">
        <v>11</v>
      </c>
      <c r="C831" s="3" t="s">
        <v>12</v>
      </c>
      <c r="D831" s="3" t="s">
        <v>13</v>
      </c>
      <c r="E831" s="3" t="s">
        <v>14</v>
      </c>
      <c r="F831" s="3">
        <v>180.0</v>
      </c>
      <c r="G831" s="4" t="s">
        <v>17</v>
      </c>
      <c r="H831" s="3">
        <v>4.736647011340135</v>
      </c>
    </row>
    <row r="832" ht="14.25" customHeight="1">
      <c r="A832" s="3" t="s">
        <v>26</v>
      </c>
      <c r="B832" s="3" t="s">
        <v>11</v>
      </c>
      <c r="C832" s="3" t="s">
        <v>12</v>
      </c>
      <c r="D832" s="3" t="s">
        <v>13</v>
      </c>
      <c r="E832" s="3" t="s">
        <v>14</v>
      </c>
      <c r="F832" s="3">
        <v>180.0</v>
      </c>
      <c r="G832" s="4" t="s">
        <v>18</v>
      </c>
      <c r="H832" s="3">
        <v>4.490749531134546</v>
      </c>
    </row>
    <row r="833" ht="14.25" customHeight="1">
      <c r="A833" s="3" t="s">
        <v>26</v>
      </c>
      <c r="B833" s="3" t="s">
        <v>11</v>
      </c>
      <c r="C833" s="3" t="s">
        <v>12</v>
      </c>
      <c r="D833" s="3" t="s">
        <v>13</v>
      </c>
      <c r="E833" s="3" t="s">
        <v>14</v>
      </c>
      <c r="F833" s="3">
        <v>180.0</v>
      </c>
      <c r="G833" s="4" t="s">
        <v>19</v>
      </c>
      <c r="H833" s="3">
        <v>4.120675522857409</v>
      </c>
    </row>
    <row r="834" ht="14.25" customHeight="1">
      <c r="A834" s="3" t="s">
        <v>26</v>
      </c>
      <c r="B834" s="3" t="s">
        <v>11</v>
      </c>
      <c r="C834" s="3" t="s">
        <v>12</v>
      </c>
      <c r="D834" s="3" t="s">
        <v>13</v>
      </c>
      <c r="E834" s="3" t="s">
        <v>14</v>
      </c>
      <c r="F834" s="3">
        <v>180.0</v>
      </c>
      <c r="G834" s="4" t="s">
        <v>20</v>
      </c>
      <c r="H834" s="3">
        <v>3.771298501163086</v>
      </c>
    </row>
    <row r="835" ht="14.25" customHeight="1">
      <c r="A835" s="3" t="s">
        <v>26</v>
      </c>
      <c r="B835" s="3" t="s">
        <v>11</v>
      </c>
      <c r="C835" s="3" t="s">
        <v>12</v>
      </c>
      <c r="D835" s="3" t="s">
        <v>13</v>
      </c>
      <c r="E835" s="3" t="s">
        <v>14</v>
      </c>
      <c r="F835" s="3">
        <v>180.0</v>
      </c>
      <c r="G835" s="4" t="s">
        <v>21</v>
      </c>
      <c r="H835" s="3">
        <v>3.508512684358369</v>
      </c>
    </row>
    <row r="836" ht="14.25" customHeight="1">
      <c r="A836" s="3" t="s">
        <v>26</v>
      </c>
      <c r="B836" s="3" t="s">
        <v>11</v>
      </c>
      <c r="C836" s="3" t="s">
        <v>12</v>
      </c>
      <c r="D836" s="3" t="s">
        <v>13</v>
      </c>
      <c r="E836" s="3" t="s">
        <v>14</v>
      </c>
      <c r="F836" s="3">
        <v>180.0</v>
      </c>
      <c r="G836" s="4" t="s">
        <v>22</v>
      </c>
      <c r="H836" s="3">
        <v>3.3425814028018968</v>
      </c>
    </row>
    <row r="837" ht="14.25" customHeight="1">
      <c r="A837" s="3" t="s">
        <v>26</v>
      </c>
      <c r="B837" s="3" t="s">
        <v>11</v>
      </c>
      <c r="C837" s="3" t="s">
        <v>12</v>
      </c>
      <c r="D837" s="3" t="s">
        <v>13</v>
      </c>
      <c r="E837" s="3" t="s">
        <v>29</v>
      </c>
      <c r="F837" s="3">
        <v>220.0</v>
      </c>
      <c r="G837" s="4" t="s">
        <v>15</v>
      </c>
      <c r="H837" s="3">
        <v>23.9645443886204</v>
      </c>
    </row>
    <row r="838" ht="14.25" customHeight="1">
      <c r="A838" s="3" t="s">
        <v>26</v>
      </c>
      <c r="B838" s="3" t="s">
        <v>11</v>
      </c>
      <c r="C838" s="3" t="s">
        <v>12</v>
      </c>
      <c r="D838" s="3" t="s">
        <v>13</v>
      </c>
      <c r="E838" s="3" t="s">
        <v>29</v>
      </c>
      <c r="F838" s="3">
        <v>220.0</v>
      </c>
      <c r="G838" s="4" t="s">
        <v>16</v>
      </c>
      <c r="H838" s="3">
        <v>24.39672743655689</v>
      </c>
    </row>
    <row r="839" ht="14.25" customHeight="1">
      <c r="A839" s="3" t="s">
        <v>26</v>
      </c>
      <c r="B839" s="3" t="s">
        <v>11</v>
      </c>
      <c r="C839" s="3" t="s">
        <v>12</v>
      </c>
      <c r="D839" s="3" t="s">
        <v>13</v>
      </c>
      <c r="E839" s="3" t="s">
        <v>29</v>
      </c>
      <c r="F839" s="3">
        <v>220.0</v>
      </c>
      <c r="G839" s="4" t="s">
        <v>17</v>
      </c>
      <c r="H839" s="3">
        <v>23.145535221573613</v>
      </c>
    </row>
    <row r="840" ht="14.25" customHeight="1">
      <c r="A840" s="3" t="s">
        <v>26</v>
      </c>
      <c r="B840" s="3" t="s">
        <v>11</v>
      </c>
      <c r="C840" s="3" t="s">
        <v>12</v>
      </c>
      <c r="D840" s="3" t="s">
        <v>13</v>
      </c>
      <c r="E840" s="3" t="s">
        <v>29</v>
      </c>
      <c r="F840" s="3">
        <v>220.0</v>
      </c>
      <c r="G840" s="4" t="s">
        <v>18</v>
      </c>
      <c r="H840" s="3">
        <v>23.76559240493472</v>
      </c>
    </row>
    <row r="841" ht="14.25" customHeight="1">
      <c r="A841" s="3" t="s">
        <v>26</v>
      </c>
      <c r="B841" s="3" t="s">
        <v>11</v>
      </c>
      <c r="C841" s="3" t="s">
        <v>12</v>
      </c>
      <c r="D841" s="3" t="s">
        <v>13</v>
      </c>
      <c r="E841" s="3" t="s">
        <v>29</v>
      </c>
      <c r="F841" s="3">
        <v>220.0</v>
      </c>
      <c r="G841" s="4" t="s">
        <v>19</v>
      </c>
      <c r="H841" s="3">
        <v>23.588779949828417</v>
      </c>
    </row>
    <row r="842" ht="14.25" customHeight="1">
      <c r="A842" s="3" t="s">
        <v>26</v>
      </c>
      <c r="B842" s="3" t="s">
        <v>11</v>
      </c>
      <c r="C842" s="3" t="s">
        <v>12</v>
      </c>
      <c r="D842" s="3" t="s">
        <v>13</v>
      </c>
      <c r="E842" s="3" t="s">
        <v>29</v>
      </c>
      <c r="F842" s="3">
        <v>220.0</v>
      </c>
      <c r="G842" s="4" t="s">
        <v>20</v>
      </c>
      <c r="H842" s="3">
        <v>24.299484712380398</v>
      </c>
    </row>
    <row r="843" ht="14.25" customHeight="1">
      <c r="A843" s="3" t="s">
        <v>26</v>
      </c>
      <c r="B843" s="3" t="s">
        <v>11</v>
      </c>
      <c r="C843" s="3" t="s">
        <v>12</v>
      </c>
      <c r="D843" s="3" t="s">
        <v>13</v>
      </c>
      <c r="E843" s="3" t="s">
        <v>29</v>
      </c>
      <c r="F843" s="3">
        <v>220.0</v>
      </c>
      <c r="G843" s="4" t="s">
        <v>21</v>
      </c>
      <c r="H843" s="3">
        <v>24.08335717699816</v>
      </c>
    </row>
    <row r="844" ht="14.25" customHeight="1">
      <c r="A844" s="3" t="s">
        <v>26</v>
      </c>
      <c r="B844" s="3" t="s">
        <v>11</v>
      </c>
      <c r="C844" s="3" t="s">
        <v>12</v>
      </c>
      <c r="D844" s="3" t="s">
        <v>13</v>
      </c>
      <c r="E844" s="3" t="s">
        <v>29</v>
      </c>
      <c r="F844" s="3">
        <v>220.0</v>
      </c>
      <c r="G844" s="4" t="s">
        <v>22</v>
      </c>
      <c r="H844" s="3">
        <v>24.0927617004296</v>
      </c>
    </row>
    <row r="845" ht="14.25" customHeight="1">
      <c r="A845" s="3" t="s">
        <v>26</v>
      </c>
      <c r="B845" s="6" t="s">
        <v>38</v>
      </c>
      <c r="C845" s="3" t="s">
        <v>39</v>
      </c>
      <c r="D845" s="3" t="s">
        <v>13</v>
      </c>
      <c r="E845" s="3" t="s">
        <v>14</v>
      </c>
      <c r="F845" s="3">
        <v>110.0</v>
      </c>
      <c r="G845" s="4" t="s">
        <v>15</v>
      </c>
      <c r="H845" s="3">
        <v>0.942895692622074</v>
      </c>
    </row>
    <row r="846" ht="14.25" customHeight="1">
      <c r="A846" s="3" t="s">
        <v>26</v>
      </c>
      <c r="B846" s="6" t="s">
        <v>38</v>
      </c>
      <c r="C846" s="3" t="s">
        <v>39</v>
      </c>
      <c r="D846" s="3" t="s">
        <v>13</v>
      </c>
      <c r="E846" s="3" t="s">
        <v>14</v>
      </c>
      <c r="F846" s="3">
        <v>110.0</v>
      </c>
      <c r="G846" s="4" t="s">
        <v>16</v>
      </c>
      <c r="H846" s="3">
        <v>0.7796250854922423</v>
      </c>
    </row>
    <row r="847" ht="14.25" customHeight="1">
      <c r="A847" s="3" t="s">
        <v>26</v>
      </c>
      <c r="B847" s="6" t="s">
        <v>38</v>
      </c>
      <c r="C847" s="3" t="s">
        <v>39</v>
      </c>
      <c r="D847" s="3" t="s">
        <v>13</v>
      </c>
      <c r="E847" s="3" t="s">
        <v>14</v>
      </c>
      <c r="F847" s="3">
        <v>110.0</v>
      </c>
      <c r="G847" s="4" t="s">
        <v>17</v>
      </c>
      <c r="H847" s="3">
        <v>0.985460900447272</v>
      </c>
    </row>
    <row r="848" ht="14.25" customHeight="1">
      <c r="A848" s="3" t="s">
        <v>26</v>
      </c>
      <c r="B848" s="6" t="s">
        <v>38</v>
      </c>
      <c r="C848" s="3" t="s">
        <v>39</v>
      </c>
      <c r="D848" s="3" t="s">
        <v>13</v>
      </c>
      <c r="E848" s="3" t="s">
        <v>14</v>
      </c>
      <c r="F848" s="3">
        <v>110.0</v>
      </c>
      <c r="G848" s="4" t="s">
        <v>18</v>
      </c>
      <c r="H848" s="3">
        <v>1.0753375819624982</v>
      </c>
    </row>
    <row r="849" ht="14.25" customHeight="1">
      <c r="A849" s="3" t="s">
        <v>26</v>
      </c>
      <c r="B849" s="6" t="s">
        <v>38</v>
      </c>
      <c r="C849" s="3" t="s">
        <v>39</v>
      </c>
      <c r="D849" s="3" t="s">
        <v>13</v>
      </c>
      <c r="E849" s="3" t="s">
        <v>14</v>
      </c>
      <c r="F849" s="3">
        <v>110.0</v>
      </c>
      <c r="G849" s="4" t="s">
        <v>19</v>
      </c>
      <c r="H849" s="3">
        <v>1.1903613778265432</v>
      </c>
    </row>
    <row r="850" ht="14.25" customHeight="1">
      <c r="A850" s="3" t="s">
        <v>26</v>
      </c>
      <c r="B850" s="6" t="s">
        <v>38</v>
      </c>
      <c r="C850" s="3" t="s">
        <v>39</v>
      </c>
      <c r="D850" s="3" t="s">
        <v>13</v>
      </c>
      <c r="E850" s="3" t="s">
        <v>14</v>
      </c>
      <c r="F850" s="3">
        <v>110.0</v>
      </c>
      <c r="G850" s="4" t="s">
        <v>20</v>
      </c>
      <c r="H850" s="3">
        <v>0.8956604701456591</v>
      </c>
    </row>
    <row r="851" ht="14.25" customHeight="1">
      <c r="A851" s="3" t="s">
        <v>26</v>
      </c>
      <c r="B851" s="6" t="s">
        <v>38</v>
      </c>
      <c r="C851" s="3" t="s">
        <v>39</v>
      </c>
      <c r="D851" s="3" t="s">
        <v>13</v>
      </c>
      <c r="E851" s="3" t="s">
        <v>14</v>
      </c>
      <c r="F851" s="3">
        <v>110.0</v>
      </c>
      <c r="G851" s="4" t="s">
        <v>21</v>
      </c>
      <c r="H851" s="3">
        <v>1.1235422622886466</v>
      </c>
    </row>
    <row r="852" ht="14.25" customHeight="1">
      <c r="A852" s="3" t="s">
        <v>26</v>
      </c>
      <c r="B852" s="6" t="s">
        <v>38</v>
      </c>
      <c r="C852" s="3" t="s">
        <v>39</v>
      </c>
      <c r="D852" s="3" t="s">
        <v>13</v>
      </c>
      <c r="E852" s="3" t="s">
        <v>14</v>
      </c>
      <c r="F852" s="3">
        <v>110.0</v>
      </c>
      <c r="G852" s="4" t="s">
        <v>22</v>
      </c>
      <c r="H852" s="3">
        <v>1.0259541147962947</v>
      </c>
    </row>
    <row r="853" ht="14.25" customHeight="1">
      <c r="A853" s="3" t="s">
        <v>26</v>
      </c>
      <c r="B853" s="6" t="s">
        <v>38</v>
      </c>
      <c r="C853" s="3" t="s">
        <v>39</v>
      </c>
      <c r="D853" s="3" t="s">
        <v>13</v>
      </c>
      <c r="E853" s="3" t="s">
        <v>14</v>
      </c>
      <c r="F853" s="3">
        <v>170.0</v>
      </c>
      <c r="G853" s="4" t="s">
        <v>15</v>
      </c>
      <c r="H853" s="3">
        <v>2.1578237312937265</v>
      </c>
    </row>
    <row r="854" ht="14.25" customHeight="1">
      <c r="A854" s="3" t="s">
        <v>26</v>
      </c>
      <c r="B854" s="6" t="s">
        <v>38</v>
      </c>
      <c r="C854" s="3" t="s">
        <v>39</v>
      </c>
      <c r="D854" s="3" t="s">
        <v>13</v>
      </c>
      <c r="E854" s="3" t="s">
        <v>14</v>
      </c>
      <c r="F854" s="3">
        <v>170.0</v>
      </c>
      <c r="G854" s="4" t="s">
        <v>16</v>
      </c>
      <c r="H854" s="3">
        <v>2.210659231940934</v>
      </c>
    </row>
    <row r="855" ht="14.25" customHeight="1">
      <c r="A855" s="3" t="s">
        <v>26</v>
      </c>
      <c r="B855" s="6" t="s">
        <v>38</v>
      </c>
      <c r="C855" s="3" t="s">
        <v>39</v>
      </c>
      <c r="D855" s="3" t="s">
        <v>13</v>
      </c>
      <c r="E855" s="3" t="s">
        <v>14</v>
      </c>
      <c r="F855" s="3">
        <v>170.0</v>
      </c>
      <c r="G855" s="4" t="s">
        <v>17</v>
      </c>
      <c r="H855" s="3">
        <v>2.324928520861439</v>
      </c>
    </row>
    <row r="856" ht="14.25" customHeight="1">
      <c r="A856" s="3" t="s">
        <v>26</v>
      </c>
      <c r="B856" s="6" t="s">
        <v>38</v>
      </c>
      <c r="C856" s="3" t="s">
        <v>39</v>
      </c>
      <c r="D856" s="3" t="s">
        <v>13</v>
      </c>
      <c r="E856" s="3" t="s">
        <v>14</v>
      </c>
      <c r="F856" s="3">
        <v>170.0</v>
      </c>
      <c r="G856" s="4" t="s">
        <v>18</v>
      </c>
      <c r="H856" s="3">
        <v>2.071709347585667</v>
      </c>
    </row>
    <row r="857" ht="14.25" customHeight="1">
      <c r="A857" s="3" t="s">
        <v>26</v>
      </c>
      <c r="B857" s="6" t="s">
        <v>38</v>
      </c>
      <c r="C857" s="3" t="s">
        <v>39</v>
      </c>
      <c r="D857" s="3" t="s">
        <v>13</v>
      </c>
      <c r="E857" s="3" t="s">
        <v>14</v>
      </c>
      <c r="F857" s="3">
        <v>170.0</v>
      </c>
      <c r="G857" s="4" t="s">
        <v>19</v>
      </c>
      <c r="H857" s="3">
        <v>1.9020824792254323</v>
      </c>
    </row>
    <row r="858" ht="14.25" customHeight="1">
      <c r="A858" s="3" t="s">
        <v>26</v>
      </c>
      <c r="B858" s="6" t="s">
        <v>38</v>
      </c>
      <c r="C858" s="3" t="s">
        <v>39</v>
      </c>
      <c r="D858" s="3" t="s">
        <v>13</v>
      </c>
      <c r="E858" s="3" t="s">
        <v>14</v>
      </c>
      <c r="F858" s="3">
        <v>170.0</v>
      </c>
      <c r="G858" s="4" t="s">
        <v>20</v>
      </c>
      <c r="H858" s="3">
        <v>1.614787409995835</v>
      </c>
    </row>
    <row r="859" ht="14.25" customHeight="1">
      <c r="A859" s="3" t="s">
        <v>26</v>
      </c>
      <c r="B859" s="6" t="s">
        <v>38</v>
      </c>
      <c r="C859" s="3" t="s">
        <v>39</v>
      </c>
      <c r="D859" s="3" t="s">
        <v>13</v>
      </c>
      <c r="E859" s="3" t="s">
        <v>14</v>
      </c>
      <c r="F859" s="3">
        <v>170.0</v>
      </c>
      <c r="G859" s="4" t="s">
        <v>21</v>
      </c>
      <c r="H859" s="3">
        <v>1.6576197715486234</v>
      </c>
    </row>
    <row r="860" ht="14.25" customHeight="1">
      <c r="A860" s="3" t="s">
        <v>26</v>
      </c>
      <c r="B860" s="6" t="s">
        <v>38</v>
      </c>
      <c r="C860" s="3" t="s">
        <v>39</v>
      </c>
      <c r="D860" s="3" t="s">
        <v>13</v>
      </c>
      <c r="E860" s="3" t="s">
        <v>14</v>
      </c>
      <c r="F860" s="3">
        <v>170.0</v>
      </c>
      <c r="G860" s="4" t="s">
        <v>22</v>
      </c>
      <c r="H860" s="3">
        <v>1.912256792190891</v>
      </c>
    </row>
    <row r="861" ht="14.25" customHeight="1">
      <c r="A861" s="3" t="s">
        <v>26</v>
      </c>
      <c r="B861" s="6" t="s">
        <v>38</v>
      </c>
      <c r="C861" s="3" t="s">
        <v>40</v>
      </c>
      <c r="D861" s="3" t="s">
        <v>31</v>
      </c>
      <c r="E861" s="3" t="s">
        <v>14</v>
      </c>
      <c r="F861" s="3">
        <v>180.0</v>
      </c>
      <c r="G861" s="4" t="s">
        <v>15</v>
      </c>
      <c r="H861" s="3">
        <v>2.0392715005324287</v>
      </c>
    </row>
    <row r="862" ht="14.25" customHeight="1">
      <c r="A862" s="3" t="s">
        <v>26</v>
      </c>
      <c r="B862" s="6" t="s">
        <v>38</v>
      </c>
      <c r="C862" s="3" t="s">
        <v>40</v>
      </c>
      <c r="D862" s="3" t="s">
        <v>31</v>
      </c>
      <c r="E862" s="3" t="s">
        <v>14</v>
      </c>
      <c r="F862" s="3">
        <v>180.0</v>
      </c>
      <c r="G862" s="4" t="s">
        <v>16</v>
      </c>
      <c r="H862" s="3">
        <v>1.9730472864554605</v>
      </c>
    </row>
    <row r="863" ht="14.25" customHeight="1">
      <c r="A863" s="3" t="s">
        <v>26</v>
      </c>
      <c r="B863" s="6" t="s">
        <v>38</v>
      </c>
      <c r="C863" s="3" t="s">
        <v>40</v>
      </c>
      <c r="D863" s="3" t="s">
        <v>31</v>
      </c>
      <c r="E863" s="3" t="s">
        <v>14</v>
      </c>
      <c r="F863" s="3">
        <v>180.0</v>
      </c>
      <c r="G863" s="4" t="s">
        <v>17</v>
      </c>
      <c r="H863" s="3">
        <v>2.0472529804009314</v>
      </c>
    </row>
    <row r="864" ht="14.25" customHeight="1">
      <c r="A864" s="3" t="s">
        <v>26</v>
      </c>
      <c r="B864" s="6" t="s">
        <v>38</v>
      </c>
      <c r="C864" s="3" t="s">
        <v>40</v>
      </c>
      <c r="D864" s="3" t="s">
        <v>31</v>
      </c>
      <c r="E864" s="3" t="s">
        <v>14</v>
      </c>
      <c r="F864" s="3">
        <v>180.0</v>
      </c>
      <c r="G864" s="4" t="s">
        <v>18</v>
      </c>
      <c r="H864" s="3">
        <v>2.036421928550369</v>
      </c>
    </row>
    <row r="865" ht="14.25" customHeight="1">
      <c r="A865" s="3" t="s">
        <v>26</v>
      </c>
      <c r="B865" s="6" t="s">
        <v>38</v>
      </c>
      <c r="C865" s="3" t="s">
        <v>40</v>
      </c>
      <c r="D865" s="3" t="s">
        <v>31</v>
      </c>
      <c r="E865" s="3" t="s">
        <v>14</v>
      </c>
      <c r="F865" s="3">
        <v>180.0</v>
      </c>
      <c r="G865" s="4" t="s">
        <v>19</v>
      </c>
      <c r="H865" s="3">
        <v>1.7995648776050637</v>
      </c>
    </row>
    <row r="866" ht="14.25" customHeight="1">
      <c r="A866" s="3" t="s">
        <v>26</v>
      </c>
      <c r="B866" s="6" t="s">
        <v>38</v>
      </c>
      <c r="C866" s="3" t="s">
        <v>40</v>
      </c>
      <c r="D866" s="3" t="s">
        <v>31</v>
      </c>
      <c r="E866" s="3" t="s">
        <v>14</v>
      </c>
      <c r="F866" s="3">
        <v>180.0</v>
      </c>
      <c r="G866" s="4" t="s">
        <v>20</v>
      </c>
      <c r="H866" s="3">
        <v>1.5386507145469737</v>
      </c>
    </row>
    <row r="867" ht="14.25" customHeight="1">
      <c r="A867" s="3" t="s">
        <v>26</v>
      </c>
      <c r="B867" s="6" t="s">
        <v>38</v>
      </c>
      <c r="C867" s="3" t="s">
        <v>40</v>
      </c>
      <c r="D867" s="3" t="s">
        <v>31</v>
      </c>
      <c r="E867" s="3" t="s">
        <v>14</v>
      </c>
      <c r="F867" s="3">
        <v>180.0</v>
      </c>
      <c r="G867" s="4" t="s">
        <v>21</v>
      </c>
      <c r="H867" s="3">
        <v>1.454738624855538</v>
      </c>
    </row>
    <row r="868" ht="14.25" customHeight="1">
      <c r="A868" s="3" t="s">
        <v>26</v>
      </c>
      <c r="B868" s="6" t="s">
        <v>38</v>
      </c>
      <c r="C868" s="3" t="s">
        <v>40</v>
      </c>
      <c r="D868" s="3" t="s">
        <v>31</v>
      </c>
      <c r="E868" s="3" t="s">
        <v>14</v>
      </c>
      <c r="F868" s="3">
        <v>180.0</v>
      </c>
      <c r="G868" s="4" t="s">
        <v>22</v>
      </c>
      <c r="H868" s="3">
        <v>1.597692606810278</v>
      </c>
    </row>
    <row r="869" ht="14.25" customHeight="1">
      <c r="A869" s="3" t="s">
        <v>26</v>
      </c>
      <c r="B869" s="6" t="s">
        <v>38</v>
      </c>
      <c r="C869" s="3" t="s">
        <v>40</v>
      </c>
      <c r="D869" s="3" t="s">
        <v>13</v>
      </c>
      <c r="E869" s="3" t="s">
        <v>14</v>
      </c>
      <c r="F869" s="3">
        <v>110.0</v>
      </c>
      <c r="G869" s="4" t="s">
        <v>15</v>
      </c>
      <c r="H869" s="3">
        <v>2.7926280574555564</v>
      </c>
    </row>
    <row r="870" ht="14.25" customHeight="1">
      <c r="A870" s="3" t="s">
        <v>26</v>
      </c>
      <c r="B870" s="6" t="s">
        <v>38</v>
      </c>
      <c r="C870" s="3" t="s">
        <v>40</v>
      </c>
      <c r="D870" s="3" t="s">
        <v>13</v>
      </c>
      <c r="E870" s="3" t="s">
        <v>14</v>
      </c>
      <c r="F870" s="3">
        <v>110.0</v>
      </c>
      <c r="G870" s="4" t="s">
        <v>16</v>
      </c>
      <c r="H870" s="3">
        <v>2.632880759674395</v>
      </c>
    </row>
    <row r="871" ht="14.25" customHeight="1">
      <c r="A871" s="3" t="s">
        <v>26</v>
      </c>
      <c r="B871" s="6" t="s">
        <v>38</v>
      </c>
      <c r="C871" s="3" t="s">
        <v>40</v>
      </c>
      <c r="D871" s="3" t="s">
        <v>13</v>
      </c>
      <c r="E871" s="3" t="s">
        <v>14</v>
      </c>
      <c r="F871" s="3">
        <v>110.0</v>
      </c>
      <c r="G871" s="4" t="s">
        <v>17</v>
      </c>
      <c r="H871" s="3">
        <v>2.4569302194036675</v>
      </c>
    </row>
    <row r="872" ht="14.25" customHeight="1">
      <c r="A872" s="3" t="s">
        <v>26</v>
      </c>
      <c r="B872" s="6" t="s">
        <v>38</v>
      </c>
      <c r="C872" s="3" t="s">
        <v>40</v>
      </c>
      <c r="D872" s="3" t="s">
        <v>13</v>
      </c>
      <c r="E872" s="3" t="s">
        <v>14</v>
      </c>
      <c r="F872" s="3">
        <v>110.0</v>
      </c>
      <c r="G872" s="4" t="s">
        <v>18</v>
      </c>
      <c r="H872" s="3">
        <v>2.1555845938338125</v>
      </c>
    </row>
    <row r="873" ht="14.25" customHeight="1">
      <c r="A873" s="3" t="s">
        <v>26</v>
      </c>
      <c r="B873" s="6" t="s">
        <v>38</v>
      </c>
      <c r="C873" s="3" t="s">
        <v>40</v>
      </c>
      <c r="D873" s="3" t="s">
        <v>13</v>
      </c>
      <c r="E873" s="3" t="s">
        <v>14</v>
      </c>
      <c r="F873" s="3">
        <v>110.0</v>
      </c>
      <c r="G873" s="4" t="s">
        <v>19</v>
      </c>
      <c r="H873" s="3">
        <v>2.085267057245146</v>
      </c>
    </row>
    <row r="874" ht="14.25" customHeight="1">
      <c r="A874" s="3" t="s">
        <v>26</v>
      </c>
      <c r="B874" s="6" t="s">
        <v>38</v>
      </c>
      <c r="C874" s="3" t="s">
        <v>40</v>
      </c>
      <c r="D874" s="3" t="s">
        <v>13</v>
      </c>
      <c r="E874" s="3" t="s">
        <v>14</v>
      </c>
      <c r="F874" s="3">
        <v>110.0</v>
      </c>
      <c r="G874" s="4" t="s">
        <v>20</v>
      </c>
      <c r="H874" s="3">
        <v>1.8926182224733357</v>
      </c>
    </row>
    <row r="875" ht="14.25" customHeight="1">
      <c r="A875" s="3" t="s">
        <v>26</v>
      </c>
      <c r="B875" s="6" t="s">
        <v>38</v>
      </c>
      <c r="C875" s="3" t="s">
        <v>40</v>
      </c>
      <c r="D875" s="3" t="s">
        <v>13</v>
      </c>
      <c r="E875" s="3" t="s">
        <v>14</v>
      </c>
      <c r="F875" s="3">
        <v>110.0</v>
      </c>
      <c r="G875" s="4" t="s">
        <v>21</v>
      </c>
      <c r="H875" s="3">
        <v>1.7681714826981394</v>
      </c>
    </row>
    <row r="876" ht="14.25" customHeight="1">
      <c r="A876" s="3" t="s">
        <v>26</v>
      </c>
      <c r="B876" s="6" t="s">
        <v>38</v>
      </c>
      <c r="C876" s="3" t="s">
        <v>40</v>
      </c>
      <c r="D876" s="3" t="s">
        <v>13</v>
      </c>
      <c r="E876" s="3" t="s">
        <v>14</v>
      </c>
      <c r="F876" s="3">
        <v>110.0</v>
      </c>
      <c r="G876" s="4" t="s">
        <v>22</v>
      </c>
      <c r="H876" s="3">
        <v>1.6634878978089291</v>
      </c>
    </row>
    <row r="877" ht="14.25" customHeight="1">
      <c r="A877" s="3" t="s">
        <v>26</v>
      </c>
      <c r="B877" s="6" t="s">
        <v>38</v>
      </c>
      <c r="C877" s="3" t="s">
        <v>40</v>
      </c>
      <c r="D877" s="3" t="s">
        <v>13</v>
      </c>
      <c r="E877" s="3" t="s">
        <v>14</v>
      </c>
      <c r="F877" s="3">
        <v>180.0</v>
      </c>
      <c r="G877" s="4" t="s">
        <v>15</v>
      </c>
      <c r="H877" s="3">
        <v>7.132309404458903</v>
      </c>
    </row>
    <row r="878" ht="14.25" customHeight="1">
      <c r="A878" s="3" t="s">
        <v>26</v>
      </c>
      <c r="B878" s="6" t="s">
        <v>38</v>
      </c>
      <c r="C878" s="3" t="s">
        <v>40</v>
      </c>
      <c r="D878" s="3" t="s">
        <v>13</v>
      </c>
      <c r="E878" s="3" t="s">
        <v>14</v>
      </c>
      <c r="F878" s="3">
        <v>180.0</v>
      </c>
      <c r="G878" s="4" t="s">
        <v>16</v>
      </c>
      <c r="H878" s="3">
        <v>6.617343027284246</v>
      </c>
    </row>
    <row r="879" ht="14.25" customHeight="1">
      <c r="A879" s="3" t="s">
        <v>26</v>
      </c>
      <c r="B879" s="6" t="s">
        <v>38</v>
      </c>
      <c r="C879" s="3" t="s">
        <v>40</v>
      </c>
      <c r="D879" s="3" t="s">
        <v>13</v>
      </c>
      <c r="E879" s="3" t="s">
        <v>14</v>
      </c>
      <c r="F879" s="3">
        <v>180.0</v>
      </c>
      <c r="G879" s="4" t="s">
        <v>17</v>
      </c>
      <c r="H879" s="3">
        <v>6.631630602907227</v>
      </c>
    </row>
    <row r="880" ht="14.25" customHeight="1">
      <c r="A880" s="3" t="s">
        <v>26</v>
      </c>
      <c r="B880" s="6" t="s">
        <v>38</v>
      </c>
      <c r="C880" s="3" t="s">
        <v>40</v>
      </c>
      <c r="D880" s="3" t="s">
        <v>13</v>
      </c>
      <c r="E880" s="3" t="s">
        <v>14</v>
      </c>
      <c r="F880" s="3">
        <v>180.0</v>
      </c>
      <c r="G880" s="4" t="s">
        <v>18</v>
      </c>
      <c r="H880" s="3">
        <v>6.250552168530726</v>
      </c>
    </row>
    <row r="881" ht="14.25" customHeight="1">
      <c r="A881" s="3" t="s">
        <v>26</v>
      </c>
      <c r="B881" s="6" t="s">
        <v>38</v>
      </c>
      <c r="C881" s="3" t="s">
        <v>40</v>
      </c>
      <c r="D881" s="3" t="s">
        <v>13</v>
      </c>
      <c r="E881" s="3" t="s">
        <v>14</v>
      </c>
      <c r="F881" s="3">
        <v>180.0</v>
      </c>
      <c r="G881" s="4" t="s">
        <v>19</v>
      </c>
      <c r="H881" s="3">
        <v>6.108897390945851</v>
      </c>
    </row>
    <row r="882" ht="14.25" customHeight="1">
      <c r="A882" s="3" t="s">
        <v>26</v>
      </c>
      <c r="B882" s="6" t="s">
        <v>38</v>
      </c>
      <c r="C882" s="3" t="s">
        <v>40</v>
      </c>
      <c r="D882" s="3" t="s">
        <v>13</v>
      </c>
      <c r="E882" s="3" t="s">
        <v>14</v>
      </c>
      <c r="F882" s="3">
        <v>180.0</v>
      </c>
      <c r="G882" s="4" t="s">
        <v>20</v>
      </c>
      <c r="H882" s="3">
        <v>5.941810649458451</v>
      </c>
    </row>
    <row r="883" ht="14.25" customHeight="1">
      <c r="A883" s="3" t="s">
        <v>26</v>
      </c>
      <c r="B883" s="6" t="s">
        <v>38</v>
      </c>
      <c r="C883" s="3" t="s">
        <v>40</v>
      </c>
      <c r="D883" s="3" t="s">
        <v>13</v>
      </c>
      <c r="E883" s="3" t="s">
        <v>14</v>
      </c>
      <c r="F883" s="3">
        <v>180.0</v>
      </c>
      <c r="G883" s="4" t="s">
        <v>21</v>
      </c>
      <c r="H883" s="3">
        <v>5.528906583431166</v>
      </c>
    </row>
    <row r="884" ht="14.25" customHeight="1">
      <c r="A884" s="3" t="s">
        <v>26</v>
      </c>
      <c r="B884" s="6" t="s">
        <v>38</v>
      </c>
      <c r="C884" s="3" t="s">
        <v>40</v>
      </c>
      <c r="D884" s="3" t="s">
        <v>13</v>
      </c>
      <c r="E884" s="3" t="s">
        <v>14</v>
      </c>
      <c r="F884" s="3">
        <v>180.0</v>
      </c>
      <c r="G884" s="4" t="s">
        <v>22</v>
      </c>
      <c r="H884" s="3">
        <v>5.412499353829228</v>
      </c>
    </row>
    <row r="885" ht="14.25" customHeight="1">
      <c r="A885" s="3" t="s">
        <v>26</v>
      </c>
      <c r="B885" s="6" t="s">
        <v>38</v>
      </c>
      <c r="C885" s="3" t="s">
        <v>40</v>
      </c>
      <c r="D885" s="3" t="s">
        <v>13</v>
      </c>
      <c r="E885" s="3" t="s">
        <v>29</v>
      </c>
      <c r="F885" s="3">
        <v>220.0</v>
      </c>
      <c r="G885" s="4" t="s">
        <v>15</v>
      </c>
      <c r="H885" s="3">
        <v>2.2404719680910965</v>
      </c>
    </row>
    <row r="886" ht="14.25" customHeight="1">
      <c r="A886" s="3" t="s">
        <v>26</v>
      </c>
      <c r="B886" s="6" t="s">
        <v>38</v>
      </c>
      <c r="C886" s="3" t="s">
        <v>40</v>
      </c>
      <c r="D886" s="3" t="s">
        <v>13</v>
      </c>
      <c r="E886" s="3" t="s">
        <v>29</v>
      </c>
      <c r="F886" s="3">
        <v>220.0</v>
      </c>
      <c r="G886" s="4" t="s">
        <v>16</v>
      </c>
      <c r="H886" s="3">
        <v>3.0184198689472312</v>
      </c>
    </row>
    <row r="887" ht="14.25" customHeight="1">
      <c r="A887" s="3" t="s">
        <v>26</v>
      </c>
      <c r="B887" s="6" t="s">
        <v>38</v>
      </c>
      <c r="C887" s="3" t="s">
        <v>40</v>
      </c>
      <c r="D887" s="3" t="s">
        <v>13</v>
      </c>
      <c r="E887" s="3" t="s">
        <v>29</v>
      </c>
      <c r="F887" s="3">
        <v>220.0</v>
      </c>
      <c r="G887" s="4" t="s">
        <v>17</v>
      </c>
      <c r="H887" s="3">
        <v>2.7201988900348444</v>
      </c>
    </row>
    <row r="888" ht="14.25" customHeight="1">
      <c r="A888" s="3" t="s">
        <v>26</v>
      </c>
      <c r="B888" s="6" t="s">
        <v>38</v>
      </c>
      <c r="C888" s="3" t="s">
        <v>40</v>
      </c>
      <c r="D888" s="3" t="s">
        <v>13</v>
      </c>
      <c r="E888" s="3" t="s">
        <v>29</v>
      </c>
      <c r="F888" s="3">
        <v>220.0</v>
      </c>
      <c r="G888" s="4" t="s">
        <v>18</v>
      </c>
      <c r="H888" s="3">
        <v>2.9405670113768823</v>
      </c>
    </row>
    <row r="889" ht="14.25" customHeight="1">
      <c r="A889" s="3" t="s">
        <v>26</v>
      </c>
      <c r="B889" s="6" t="s">
        <v>38</v>
      </c>
      <c r="C889" s="3" t="s">
        <v>40</v>
      </c>
      <c r="D889" s="3" t="s">
        <v>13</v>
      </c>
      <c r="E889" s="3" t="s">
        <v>29</v>
      </c>
      <c r="F889" s="3">
        <v>220.0</v>
      </c>
      <c r="G889" s="4" t="s">
        <v>19</v>
      </c>
      <c r="H889" s="3">
        <v>3.522839984629105</v>
      </c>
    </row>
    <row r="890" ht="14.25" customHeight="1">
      <c r="A890" s="3" t="s">
        <v>26</v>
      </c>
      <c r="B890" s="6" t="s">
        <v>38</v>
      </c>
      <c r="C890" s="3" t="s">
        <v>40</v>
      </c>
      <c r="D890" s="3" t="s">
        <v>13</v>
      </c>
      <c r="E890" s="3" t="s">
        <v>29</v>
      </c>
      <c r="F890" s="3">
        <v>220.0</v>
      </c>
      <c r="G890" s="4" t="s">
        <v>20</v>
      </c>
      <c r="H890" s="3">
        <v>3.529044908190743</v>
      </c>
    </row>
    <row r="891" ht="14.25" customHeight="1">
      <c r="A891" s="3" t="s">
        <v>26</v>
      </c>
      <c r="B891" s="6" t="s">
        <v>38</v>
      </c>
      <c r="C891" s="3" t="s">
        <v>40</v>
      </c>
      <c r="D891" s="3" t="s">
        <v>13</v>
      </c>
      <c r="E891" s="3" t="s">
        <v>29</v>
      </c>
      <c r="F891" s="3">
        <v>220.0</v>
      </c>
      <c r="G891" s="4" t="s">
        <v>21</v>
      </c>
      <c r="H891" s="3">
        <v>3.57920348865013</v>
      </c>
    </row>
    <row r="892" ht="14.25" customHeight="1">
      <c r="A892" s="3" t="s">
        <v>26</v>
      </c>
      <c r="B892" s="6" t="s">
        <v>38</v>
      </c>
      <c r="C892" s="3" t="s">
        <v>40</v>
      </c>
      <c r="D892" s="3" t="s">
        <v>13</v>
      </c>
      <c r="E892" s="3" t="s">
        <v>29</v>
      </c>
      <c r="F892" s="3">
        <v>220.0</v>
      </c>
      <c r="G892" s="4" t="s">
        <v>22</v>
      </c>
      <c r="H892" s="3">
        <v>3.484423080237319</v>
      </c>
    </row>
    <row r="893" ht="14.25" customHeight="1">
      <c r="A893" s="3" t="s">
        <v>26</v>
      </c>
      <c r="B893" s="3" t="s">
        <v>36</v>
      </c>
      <c r="C893" s="3" t="s">
        <v>36</v>
      </c>
      <c r="D893" s="3" t="s">
        <v>37</v>
      </c>
      <c r="E893" s="3" t="s">
        <v>14</v>
      </c>
      <c r="F893" s="3">
        <v>180.0</v>
      </c>
      <c r="G893" s="4" t="s">
        <v>15</v>
      </c>
      <c r="H893" s="3">
        <v>1.8710791500343629</v>
      </c>
    </row>
    <row r="894" ht="14.25" customHeight="1">
      <c r="A894" s="3" t="s">
        <v>26</v>
      </c>
      <c r="B894" s="3" t="s">
        <v>36</v>
      </c>
      <c r="C894" s="3" t="s">
        <v>36</v>
      </c>
      <c r="D894" s="3" t="s">
        <v>37</v>
      </c>
      <c r="E894" s="3" t="s">
        <v>14</v>
      </c>
      <c r="F894" s="3">
        <v>180.0</v>
      </c>
      <c r="G894" s="4" t="s">
        <v>16</v>
      </c>
      <c r="H894" s="3">
        <v>1.9251473936557306</v>
      </c>
    </row>
    <row r="895" ht="14.25" customHeight="1">
      <c r="A895" s="3" t="s">
        <v>26</v>
      </c>
      <c r="B895" s="3" t="s">
        <v>36</v>
      </c>
      <c r="C895" s="3" t="s">
        <v>36</v>
      </c>
      <c r="D895" s="3" t="s">
        <v>37</v>
      </c>
      <c r="E895" s="3" t="s">
        <v>14</v>
      </c>
      <c r="F895" s="3">
        <v>180.0</v>
      </c>
      <c r="G895" s="4" t="s">
        <v>17</v>
      </c>
      <c r="H895" s="3">
        <v>1.9582522595880878</v>
      </c>
    </row>
    <row r="896" ht="14.25" customHeight="1">
      <c r="A896" s="3" t="s">
        <v>26</v>
      </c>
      <c r="B896" s="3" t="s">
        <v>36</v>
      </c>
      <c r="C896" s="3" t="s">
        <v>36</v>
      </c>
      <c r="D896" s="3" t="s">
        <v>37</v>
      </c>
      <c r="E896" s="3" t="s">
        <v>14</v>
      </c>
      <c r="F896" s="3">
        <v>180.0</v>
      </c>
      <c r="G896" s="4" t="s">
        <v>18</v>
      </c>
      <c r="H896" s="3">
        <v>1.8525342682078327</v>
      </c>
    </row>
    <row r="897" ht="14.25" customHeight="1">
      <c r="A897" s="3" t="s">
        <v>26</v>
      </c>
      <c r="B897" s="3" t="s">
        <v>36</v>
      </c>
      <c r="C897" s="3" t="s">
        <v>36</v>
      </c>
      <c r="D897" s="3" t="s">
        <v>37</v>
      </c>
      <c r="E897" s="3" t="s">
        <v>14</v>
      </c>
      <c r="F897" s="3">
        <v>180.0</v>
      </c>
      <c r="G897" s="4" t="s">
        <v>19</v>
      </c>
      <c r="H897" s="3">
        <v>2.1222108560762076</v>
      </c>
    </row>
    <row r="898" ht="14.25" customHeight="1">
      <c r="A898" s="3" t="s">
        <v>26</v>
      </c>
      <c r="B898" s="3" t="s">
        <v>36</v>
      </c>
      <c r="C898" s="3" t="s">
        <v>36</v>
      </c>
      <c r="D898" s="3" t="s">
        <v>37</v>
      </c>
      <c r="E898" s="3" t="s">
        <v>14</v>
      </c>
      <c r="F898" s="3">
        <v>180.0</v>
      </c>
      <c r="G898" s="4" t="s">
        <v>20</v>
      </c>
      <c r="H898" s="3">
        <v>1.9853519279740273</v>
      </c>
    </row>
    <row r="899" ht="14.25" customHeight="1">
      <c r="A899" s="3" t="s">
        <v>26</v>
      </c>
      <c r="B899" s="3" t="s">
        <v>36</v>
      </c>
      <c r="C899" s="3" t="s">
        <v>36</v>
      </c>
      <c r="D899" s="3" t="s">
        <v>37</v>
      </c>
      <c r="E899" s="3" t="s">
        <v>14</v>
      </c>
      <c r="F899" s="3">
        <v>180.0</v>
      </c>
      <c r="G899" s="4" t="s">
        <v>21</v>
      </c>
      <c r="H899" s="3">
        <v>1.8608239002883042</v>
      </c>
    </row>
    <row r="900" ht="14.25" customHeight="1">
      <c r="A900" s="3" t="s">
        <v>26</v>
      </c>
      <c r="B900" s="3" t="s">
        <v>36</v>
      </c>
      <c r="C900" s="3" t="s">
        <v>36</v>
      </c>
      <c r="D900" s="3" t="s">
        <v>37</v>
      </c>
      <c r="E900" s="3" t="s">
        <v>14</v>
      </c>
      <c r="F900" s="3">
        <v>180.0</v>
      </c>
      <c r="G900" s="4" t="s">
        <v>22</v>
      </c>
      <c r="H900" s="3">
        <v>2.306968946101665</v>
      </c>
    </row>
    <row r="901" ht="14.25" customHeight="1">
      <c r="A901" s="3" t="s">
        <v>26</v>
      </c>
      <c r="B901" s="3" t="s">
        <v>36</v>
      </c>
      <c r="C901" s="3" t="s">
        <v>36</v>
      </c>
      <c r="D901" s="3" t="s">
        <v>13</v>
      </c>
      <c r="E901" s="3" t="s">
        <v>14</v>
      </c>
      <c r="F901" s="3">
        <v>110.0</v>
      </c>
      <c r="G901" s="4" t="s">
        <v>15</v>
      </c>
      <c r="H901" s="3">
        <v>0.7781028484896689</v>
      </c>
    </row>
    <row r="902" ht="14.25" customHeight="1">
      <c r="A902" s="3" t="s">
        <v>26</v>
      </c>
      <c r="B902" s="3" t="s">
        <v>36</v>
      </c>
      <c r="C902" s="3" t="s">
        <v>36</v>
      </c>
      <c r="D902" s="3" t="s">
        <v>13</v>
      </c>
      <c r="E902" s="3" t="s">
        <v>14</v>
      </c>
      <c r="F902" s="3">
        <v>110.0</v>
      </c>
      <c r="G902" s="4" t="s">
        <v>16</v>
      </c>
      <c r="H902" s="3">
        <v>0.7178523654390049</v>
      </c>
    </row>
    <row r="903" ht="14.25" customHeight="1">
      <c r="A903" s="3" t="s">
        <v>26</v>
      </c>
      <c r="B903" s="3" t="s">
        <v>36</v>
      </c>
      <c r="C903" s="3" t="s">
        <v>36</v>
      </c>
      <c r="D903" s="3" t="s">
        <v>13</v>
      </c>
      <c r="E903" s="3" t="s">
        <v>14</v>
      </c>
      <c r="F903" s="3">
        <v>110.0</v>
      </c>
      <c r="G903" s="4" t="s">
        <v>17</v>
      </c>
      <c r="H903" s="3">
        <v>0.6626361778114433</v>
      </c>
    </row>
    <row r="904" ht="14.25" customHeight="1">
      <c r="A904" s="3" t="s">
        <v>26</v>
      </c>
      <c r="B904" s="3" t="s">
        <v>36</v>
      </c>
      <c r="C904" s="3" t="s">
        <v>36</v>
      </c>
      <c r="D904" s="3" t="s">
        <v>13</v>
      </c>
      <c r="E904" s="3" t="s">
        <v>14</v>
      </c>
      <c r="F904" s="3">
        <v>110.0</v>
      </c>
      <c r="G904" s="4" t="s">
        <v>18</v>
      </c>
      <c r="H904" s="3">
        <v>0.5716139875007724</v>
      </c>
    </row>
    <row r="905" ht="14.25" customHeight="1">
      <c r="A905" s="3" t="s">
        <v>26</v>
      </c>
      <c r="B905" s="3" t="s">
        <v>36</v>
      </c>
      <c r="C905" s="3" t="s">
        <v>36</v>
      </c>
      <c r="D905" s="3" t="s">
        <v>13</v>
      </c>
      <c r="E905" s="3" t="s">
        <v>14</v>
      </c>
      <c r="F905" s="3">
        <v>110.0</v>
      </c>
      <c r="G905" s="4" t="s">
        <v>19</v>
      </c>
      <c r="H905" s="3">
        <v>0.7168881362725018</v>
      </c>
    </row>
    <row r="906" ht="14.25" customHeight="1">
      <c r="A906" s="3" t="s">
        <v>26</v>
      </c>
      <c r="B906" s="3" t="s">
        <v>36</v>
      </c>
      <c r="C906" s="3" t="s">
        <v>36</v>
      </c>
      <c r="D906" s="3" t="s">
        <v>13</v>
      </c>
      <c r="E906" s="3" t="s">
        <v>14</v>
      </c>
      <c r="F906" s="3">
        <v>110.0</v>
      </c>
      <c r="G906" s="4" t="s">
        <v>20</v>
      </c>
      <c r="H906" s="3">
        <v>0.6935990303089968</v>
      </c>
    </row>
    <row r="907" ht="14.25" customHeight="1">
      <c r="A907" s="3" t="s">
        <v>26</v>
      </c>
      <c r="B907" s="3" t="s">
        <v>36</v>
      </c>
      <c r="C907" s="3" t="s">
        <v>36</v>
      </c>
      <c r="D907" s="3" t="s">
        <v>13</v>
      </c>
      <c r="E907" s="3" t="s">
        <v>14</v>
      </c>
      <c r="F907" s="3">
        <v>110.0</v>
      </c>
      <c r="G907" s="4" t="s">
        <v>21</v>
      </c>
      <c r="H907" s="3">
        <v>0.7040472934064717</v>
      </c>
    </row>
    <row r="908" ht="14.25" customHeight="1">
      <c r="A908" s="3" t="s">
        <v>26</v>
      </c>
      <c r="B908" s="3" t="s">
        <v>36</v>
      </c>
      <c r="C908" s="3" t="s">
        <v>36</v>
      </c>
      <c r="D908" s="3" t="s">
        <v>13</v>
      </c>
      <c r="E908" s="3" t="s">
        <v>14</v>
      </c>
      <c r="F908" s="3">
        <v>110.0</v>
      </c>
      <c r="G908" s="4" t="s">
        <v>22</v>
      </c>
      <c r="H908" s="3">
        <v>0.7207804965398499</v>
      </c>
    </row>
    <row r="909" ht="14.25" customHeight="1">
      <c r="A909" s="3" t="s">
        <v>26</v>
      </c>
      <c r="B909" s="3" t="s">
        <v>36</v>
      </c>
      <c r="C909" s="3" t="s">
        <v>36</v>
      </c>
      <c r="D909" s="3" t="s">
        <v>13</v>
      </c>
      <c r="E909" s="3" t="s">
        <v>14</v>
      </c>
      <c r="F909" s="3">
        <v>180.0</v>
      </c>
      <c r="G909" s="4" t="s">
        <v>15</v>
      </c>
      <c r="H909" s="3">
        <v>4.103972028280559</v>
      </c>
    </row>
    <row r="910" ht="14.25" customHeight="1">
      <c r="A910" s="3" t="s">
        <v>26</v>
      </c>
      <c r="B910" s="3" t="s">
        <v>36</v>
      </c>
      <c r="C910" s="3" t="s">
        <v>36</v>
      </c>
      <c r="D910" s="3" t="s">
        <v>13</v>
      </c>
      <c r="E910" s="3" t="s">
        <v>14</v>
      </c>
      <c r="F910" s="3">
        <v>180.0</v>
      </c>
      <c r="G910" s="4" t="s">
        <v>16</v>
      </c>
      <c r="H910" s="3">
        <v>3.9097050729108385</v>
      </c>
    </row>
    <row r="911" ht="14.25" customHeight="1">
      <c r="A911" s="3" t="s">
        <v>26</v>
      </c>
      <c r="B911" s="3" t="s">
        <v>36</v>
      </c>
      <c r="C911" s="3" t="s">
        <v>36</v>
      </c>
      <c r="D911" s="3" t="s">
        <v>13</v>
      </c>
      <c r="E911" s="3" t="s">
        <v>14</v>
      </c>
      <c r="F911" s="3">
        <v>180.0</v>
      </c>
      <c r="G911" s="4" t="s">
        <v>17</v>
      </c>
      <c r="H911" s="3">
        <v>3.838798625387283</v>
      </c>
    </row>
    <row r="912" ht="14.25" customHeight="1">
      <c r="A912" s="3" t="s">
        <v>26</v>
      </c>
      <c r="B912" s="3" t="s">
        <v>36</v>
      </c>
      <c r="C912" s="3" t="s">
        <v>36</v>
      </c>
      <c r="D912" s="3" t="s">
        <v>13</v>
      </c>
      <c r="E912" s="3" t="s">
        <v>14</v>
      </c>
      <c r="F912" s="3">
        <v>180.0</v>
      </c>
      <c r="G912" s="4" t="s">
        <v>18</v>
      </c>
      <c r="H912" s="3">
        <v>3.251862874478295</v>
      </c>
    </row>
    <row r="913" ht="14.25" customHeight="1">
      <c r="A913" s="3" t="s">
        <v>26</v>
      </c>
      <c r="B913" s="3" t="s">
        <v>36</v>
      </c>
      <c r="C913" s="3" t="s">
        <v>36</v>
      </c>
      <c r="D913" s="3" t="s">
        <v>13</v>
      </c>
      <c r="E913" s="3" t="s">
        <v>14</v>
      </c>
      <c r="F913" s="3">
        <v>180.0</v>
      </c>
      <c r="G913" s="4" t="s">
        <v>19</v>
      </c>
      <c r="H913" s="3">
        <v>3.5466143582980525</v>
      </c>
    </row>
    <row r="914" ht="14.25" customHeight="1">
      <c r="A914" s="3" t="s">
        <v>26</v>
      </c>
      <c r="B914" s="3" t="s">
        <v>36</v>
      </c>
      <c r="C914" s="3" t="s">
        <v>36</v>
      </c>
      <c r="D914" s="3" t="s">
        <v>13</v>
      </c>
      <c r="E914" s="3" t="s">
        <v>14</v>
      </c>
      <c r="F914" s="3">
        <v>180.0</v>
      </c>
      <c r="G914" s="4" t="s">
        <v>20</v>
      </c>
      <c r="H914" s="3">
        <v>3.5544600535817525</v>
      </c>
    </row>
    <row r="915" ht="14.25" customHeight="1">
      <c r="A915" s="3" t="s">
        <v>26</v>
      </c>
      <c r="B915" s="3" t="s">
        <v>36</v>
      </c>
      <c r="C915" s="3" t="s">
        <v>36</v>
      </c>
      <c r="D915" s="3" t="s">
        <v>13</v>
      </c>
      <c r="E915" s="3" t="s">
        <v>14</v>
      </c>
      <c r="F915" s="3">
        <v>180.0</v>
      </c>
      <c r="G915" s="4" t="s">
        <v>21</v>
      </c>
      <c r="H915" s="3">
        <v>3.0903568710844533</v>
      </c>
    </row>
    <row r="916" ht="14.25" customHeight="1">
      <c r="A916" s="3" t="s">
        <v>26</v>
      </c>
      <c r="B916" s="3" t="s">
        <v>36</v>
      </c>
      <c r="C916" s="3" t="s">
        <v>36</v>
      </c>
      <c r="D916" s="3" t="s">
        <v>13</v>
      </c>
      <c r="E916" s="3" t="s">
        <v>14</v>
      </c>
      <c r="F916" s="3">
        <v>180.0</v>
      </c>
      <c r="G916" s="4" t="s">
        <v>22</v>
      </c>
      <c r="H916" s="3">
        <v>3.1848726967647254</v>
      </c>
    </row>
    <row r="917" ht="14.25" customHeight="1">
      <c r="A917" s="3" t="s">
        <v>26</v>
      </c>
      <c r="B917" s="3" t="s">
        <v>32</v>
      </c>
      <c r="C917" s="3" t="s">
        <v>46</v>
      </c>
      <c r="D917" s="3" t="s">
        <v>34</v>
      </c>
      <c r="E917" s="3" t="s">
        <v>14</v>
      </c>
      <c r="F917" s="3">
        <v>110.0</v>
      </c>
      <c r="G917" s="4" t="s">
        <v>15</v>
      </c>
      <c r="H917" s="3">
        <v>2.4388586851963634</v>
      </c>
    </row>
    <row r="918" ht="14.25" customHeight="1">
      <c r="A918" s="3" t="s">
        <v>26</v>
      </c>
      <c r="B918" s="3" t="s">
        <v>32</v>
      </c>
      <c r="C918" s="3" t="s">
        <v>46</v>
      </c>
      <c r="D918" s="3" t="s">
        <v>34</v>
      </c>
      <c r="E918" s="3" t="s">
        <v>14</v>
      </c>
      <c r="F918" s="3">
        <v>110.0</v>
      </c>
      <c r="G918" s="4" t="s">
        <v>16</v>
      </c>
      <c r="H918" s="3">
        <v>2.4378828285172625</v>
      </c>
    </row>
    <row r="919" ht="14.25" customHeight="1">
      <c r="A919" s="3" t="s">
        <v>26</v>
      </c>
      <c r="B919" s="3" t="s">
        <v>32</v>
      </c>
      <c r="C919" s="3" t="s">
        <v>46</v>
      </c>
      <c r="D919" s="3" t="s">
        <v>34</v>
      </c>
      <c r="E919" s="3" t="s">
        <v>14</v>
      </c>
      <c r="F919" s="3">
        <v>110.0</v>
      </c>
      <c r="G919" s="4" t="s">
        <v>17</v>
      </c>
      <c r="H919" s="3">
        <v>2.6725654940998287</v>
      </c>
    </row>
    <row r="920" ht="14.25" customHeight="1">
      <c r="A920" s="3" t="s">
        <v>26</v>
      </c>
      <c r="B920" s="3" t="s">
        <v>32</v>
      </c>
      <c r="C920" s="3" t="s">
        <v>46</v>
      </c>
      <c r="D920" s="3" t="s">
        <v>34</v>
      </c>
      <c r="E920" s="3" t="s">
        <v>14</v>
      </c>
      <c r="F920" s="3">
        <v>110.0</v>
      </c>
      <c r="G920" s="4" t="s">
        <v>18</v>
      </c>
      <c r="H920" s="3">
        <v>2.6598194356683087</v>
      </c>
    </row>
    <row r="921" ht="14.25" customHeight="1">
      <c r="A921" s="3" t="s">
        <v>26</v>
      </c>
      <c r="B921" s="3" t="s">
        <v>32</v>
      </c>
      <c r="C921" s="3" t="s">
        <v>46</v>
      </c>
      <c r="D921" s="3" t="s">
        <v>34</v>
      </c>
      <c r="E921" s="3" t="s">
        <v>14</v>
      </c>
      <c r="F921" s="3">
        <v>110.0</v>
      </c>
      <c r="G921" s="4" t="s">
        <v>19</v>
      </c>
      <c r="H921" s="3">
        <v>2.652983276262332</v>
      </c>
    </row>
    <row r="922" ht="14.25" customHeight="1">
      <c r="A922" s="3" t="s">
        <v>26</v>
      </c>
      <c r="B922" s="3" t="s">
        <v>32</v>
      </c>
      <c r="C922" s="3" t="s">
        <v>46</v>
      </c>
      <c r="D922" s="3" t="s">
        <v>34</v>
      </c>
      <c r="E922" s="3" t="s">
        <v>14</v>
      </c>
      <c r="F922" s="3">
        <v>110.0</v>
      </c>
      <c r="G922" s="4" t="s">
        <v>20</v>
      </c>
      <c r="H922" s="3">
        <v>2.492241965168288</v>
      </c>
    </row>
    <row r="923" ht="14.25" customHeight="1">
      <c r="A923" s="3" t="s">
        <v>26</v>
      </c>
      <c r="B923" s="3" t="s">
        <v>32</v>
      </c>
      <c r="C923" s="3" t="s">
        <v>46</v>
      </c>
      <c r="D923" s="3" t="s">
        <v>34</v>
      </c>
      <c r="E923" s="3" t="s">
        <v>14</v>
      </c>
      <c r="F923" s="3">
        <v>110.0</v>
      </c>
      <c r="G923" s="4" t="s">
        <v>21</v>
      </c>
      <c r="H923" s="3">
        <v>2.5443846233022858</v>
      </c>
    </row>
    <row r="924" ht="14.25" customHeight="1">
      <c r="A924" s="3" t="s">
        <v>26</v>
      </c>
      <c r="B924" s="3" t="s">
        <v>32</v>
      </c>
      <c r="C924" s="3" t="s">
        <v>46</v>
      </c>
      <c r="D924" s="3" t="s">
        <v>34</v>
      </c>
      <c r="E924" s="3" t="s">
        <v>14</v>
      </c>
      <c r="F924" s="3">
        <v>110.0</v>
      </c>
      <c r="G924" s="4" t="s">
        <v>22</v>
      </c>
      <c r="H924" s="3">
        <v>2.340726395960246</v>
      </c>
    </row>
    <row r="925" ht="14.25" customHeight="1">
      <c r="A925" s="3" t="s">
        <v>26</v>
      </c>
      <c r="B925" s="3" t="s">
        <v>32</v>
      </c>
      <c r="C925" s="3" t="s">
        <v>46</v>
      </c>
      <c r="D925" s="3" t="s">
        <v>34</v>
      </c>
      <c r="E925" s="3" t="s">
        <v>14</v>
      </c>
      <c r="F925" s="3">
        <v>180.0</v>
      </c>
      <c r="G925" s="4" t="s">
        <v>15</v>
      </c>
      <c r="H925" s="3">
        <v>3.5323986647066827</v>
      </c>
    </row>
    <row r="926" ht="14.25" customHeight="1">
      <c r="A926" s="3" t="s">
        <v>26</v>
      </c>
      <c r="B926" s="3" t="s">
        <v>32</v>
      </c>
      <c r="C926" s="3" t="s">
        <v>46</v>
      </c>
      <c r="D926" s="3" t="s">
        <v>34</v>
      </c>
      <c r="E926" s="3" t="s">
        <v>14</v>
      </c>
      <c r="F926" s="3">
        <v>180.0</v>
      </c>
      <c r="G926" s="4" t="s">
        <v>16</v>
      </c>
      <c r="H926" s="3">
        <v>3.6971065298452648</v>
      </c>
    </row>
    <row r="927" ht="14.25" customHeight="1">
      <c r="A927" s="3" t="s">
        <v>26</v>
      </c>
      <c r="B927" s="3" t="s">
        <v>32</v>
      </c>
      <c r="C927" s="3" t="s">
        <v>46</v>
      </c>
      <c r="D927" s="3" t="s">
        <v>34</v>
      </c>
      <c r="E927" s="3" t="s">
        <v>14</v>
      </c>
      <c r="F927" s="3">
        <v>180.0</v>
      </c>
      <c r="G927" s="4" t="s">
        <v>17</v>
      </c>
      <c r="H927" s="3">
        <v>3.689249411048189</v>
      </c>
    </row>
    <row r="928" ht="14.25" customHeight="1">
      <c r="A928" s="3" t="s">
        <v>26</v>
      </c>
      <c r="B928" s="3" t="s">
        <v>32</v>
      </c>
      <c r="C928" s="3" t="s">
        <v>46</v>
      </c>
      <c r="D928" s="3" t="s">
        <v>34</v>
      </c>
      <c r="E928" s="3" t="s">
        <v>14</v>
      </c>
      <c r="F928" s="3">
        <v>180.0</v>
      </c>
      <c r="G928" s="4" t="s">
        <v>18</v>
      </c>
      <c r="H928" s="3">
        <v>3.519342160361726</v>
      </c>
    </row>
    <row r="929" ht="14.25" customHeight="1">
      <c r="A929" s="3" t="s">
        <v>26</v>
      </c>
      <c r="B929" s="3" t="s">
        <v>32</v>
      </c>
      <c r="C929" s="3" t="s">
        <v>46</v>
      </c>
      <c r="D929" s="3" t="s">
        <v>34</v>
      </c>
      <c r="E929" s="3" t="s">
        <v>14</v>
      </c>
      <c r="F929" s="3">
        <v>180.0</v>
      </c>
      <c r="G929" s="4" t="s">
        <v>19</v>
      </c>
      <c r="H929" s="3">
        <v>3.819113689001055</v>
      </c>
    </row>
    <row r="930" ht="14.25" customHeight="1">
      <c r="A930" s="3" t="s">
        <v>26</v>
      </c>
      <c r="B930" s="3" t="s">
        <v>32</v>
      </c>
      <c r="C930" s="3" t="s">
        <v>46</v>
      </c>
      <c r="D930" s="3" t="s">
        <v>34</v>
      </c>
      <c r="E930" s="3" t="s">
        <v>14</v>
      </c>
      <c r="F930" s="3">
        <v>180.0</v>
      </c>
      <c r="G930" s="4" t="s">
        <v>20</v>
      </c>
      <c r="H930" s="3">
        <v>4.074114135177216</v>
      </c>
    </row>
    <row r="931" ht="14.25" customHeight="1">
      <c r="A931" s="3" t="s">
        <v>26</v>
      </c>
      <c r="B931" s="3" t="s">
        <v>32</v>
      </c>
      <c r="C931" s="3" t="s">
        <v>46</v>
      </c>
      <c r="D931" s="3" t="s">
        <v>34</v>
      </c>
      <c r="E931" s="3" t="s">
        <v>14</v>
      </c>
      <c r="F931" s="3">
        <v>180.0</v>
      </c>
      <c r="G931" s="4" t="s">
        <v>21</v>
      </c>
      <c r="H931" s="3">
        <v>4.165716943792285</v>
      </c>
    </row>
    <row r="932" ht="14.25" customHeight="1">
      <c r="A932" s="3" t="s">
        <v>26</v>
      </c>
      <c r="B932" s="3" t="s">
        <v>32</v>
      </c>
      <c r="C932" s="3" t="s">
        <v>46</v>
      </c>
      <c r="D932" s="3" t="s">
        <v>34</v>
      </c>
      <c r="E932" s="3" t="s">
        <v>14</v>
      </c>
      <c r="F932" s="3">
        <v>180.0</v>
      </c>
      <c r="G932" s="4" t="s">
        <v>22</v>
      </c>
      <c r="H932" s="3">
        <v>3.513293793318045</v>
      </c>
    </row>
    <row r="933" ht="14.25" customHeight="1">
      <c r="A933" s="3" t="s">
        <v>26</v>
      </c>
      <c r="B933" s="3" t="s">
        <v>32</v>
      </c>
      <c r="C933" s="3" t="s">
        <v>35</v>
      </c>
      <c r="D933" s="3" t="s">
        <v>30</v>
      </c>
      <c r="E933" s="3" t="s">
        <v>29</v>
      </c>
      <c r="F933" s="3">
        <v>220.0</v>
      </c>
      <c r="G933" s="4" t="s">
        <v>15</v>
      </c>
      <c r="H933" s="3">
        <v>1.9671276798252175</v>
      </c>
    </row>
    <row r="934" ht="14.25" customHeight="1">
      <c r="A934" s="3" t="s">
        <v>26</v>
      </c>
      <c r="B934" s="3" t="s">
        <v>32</v>
      </c>
      <c r="C934" s="3" t="s">
        <v>35</v>
      </c>
      <c r="D934" s="3" t="s">
        <v>30</v>
      </c>
      <c r="E934" s="3" t="s">
        <v>29</v>
      </c>
      <c r="F934" s="3">
        <v>220.0</v>
      </c>
      <c r="G934" s="4" t="s">
        <v>16</v>
      </c>
      <c r="H934" s="3">
        <v>1.6789488008009772</v>
      </c>
    </row>
    <row r="935" ht="14.25" customHeight="1">
      <c r="A935" s="3" t="s">
        <v>26</v>
      </c>
      <c r="B935" s="3" t="s">
        <v>32</v>
      </c>
      <c r="C935" s="3" t="s">
        <v>35</v>
      </c>
      <c r="D935" s="3" t="s">
        <v>30</v>
      </c>
      <c r="E935" s="3" t="s">
        <v>29</v>
      </c>
      <c r="F935" s="3">
        <v>220.0</v>
      </c>
      <c r="G935" s="4" t="s">
        <v>17</v>
      </c>
      <c r="H935" s="3">
        <v>2.1067821628807013</v>
      </c>
    </row>
    <row r="936" ht="14.25" customHeight="1">
      <c r="A936" s="3" t="s">
        <v>26</v>
      </c>
      <c r="B936" s="3" t="s">
        <v>32</v>
      </c>
      <c r="C936" s="3" t="s">
        <v>35</v>
      </c>
      <c r="D936" s="3" t="s">
        <v>30</v>
      </c>
      <c r="E936" s="3" t="s">
        <v>29</v>
      </c>
      <c r="F936" s="3">
        <v>220.0</v>
      </c>
      <c r="G936" s="4" t="s">
        <v>18</v>
      </c>
      <c r="H936" s="3">
        <v>2.105413315400676</v>
      </c>
    </row>
    <row r="937" ht="14.25" customHeight="1">
      <c r="A937" s="3" t="s">
        <v>26</v>
      </c>
      <c r="B937" s="3" t="s">
        <v>32</v>
      </c>
      <c r="C937" s="3" t="s">
        <v>35</v>
      </c>
      <c r="D937" s="3" t="s">
        <v>30</v>
      </c>
      <c r="E937" s="3" t="s">
        <v>29</v>
      </c>
      <c r="F937" s="3">
        <v>220.0</v>
      </c>
      <c r="G937" s="4" t="s">
        <v>19</v>
      </c>
      <c r="H937" s="3">
        <v>2.631118990023494</v>
      </c>
    </row>
    <row r="938" ht="14.25" customHeight="1">
      <c r="A938" s="3" t="s">
        <v>26</v>
      </c>
      <c r="B938" s="3" t="s">
        <v>32</v>
      </c>
      <c r="C938" s="3" t="s">
        <v>35</v>
      </c>
      <c r="D938" s="3" t="s">
        <v>30</v>
      </c>
      <c r="E938" s="3" t="s">
        <v>29</v>
      </c>
      <c r="F938" s="3">
        <v>220.0</v>
      </c>
      <c r="G938" s="4" t="s">
        <v>20</v>
      </c>
      <c r="H938" s="3">
        <v>2.766359419068703</v>
      </c>
    </row>
    <row r="939" ht="14.25" customHeight="1">
      <c r="A939" s="3" t="s">
        <v>26</v>
      </c>
      <c r="B939" s="3" t="s">
        <v>32</v>
      </c>
      <c r="C939" s="3" t="s">
        <v>35</v>
      </c>
      <c r="D939" s="3" t="s">
        <v>30</v>
      </c>
      <c r="E939" s="3" t="s">
        <v>29</v>
      </c>
      <c r="F939" s="3">
        <v>220.0</v>
      </c>
      <c r="G939" s="4" t="s">
        <v>21</v>
      </c>
      <c r="H939" s="3">
        <v>3.0211106036753232</v>
      </c>
    </row>
    <row r="940" ht="14.25" customHeight="1">
      <c r="A940" s="3" t="s">
        <v>26</v>
      </c>
      <c r="B940" s="3" t="s">
        <v>32</v>
      </c>
      <c r="C940" s="3" t="s">
        <v>35</v>
      </c>
      <c r="D940" s="3" t="s">
        <v>30</v>
      </c>
      <c r="E940" s="3" t="s">
        <v>29</v>
      </c>
      <c r="F940" s="3">
        <v>220.0</v>
      </c>
      <c r="G940" s="4" t="s">
        <v>22</v>
      </c>
      <c r="H940" s="3">
        <v>2.936873202412027</v>
      </c>
    </row>
    <row r="941" ht="14.25" customHeight="1">
      <c r="A941" s="3" t="s">
        <v>26</v>
      </c>
      <c r="B941" s="3" t="s">
        <v>41</v>
      </c>
      <c r="C941" s="3" t="s">
        <v>42</v>
      </c>
      <c r="D941" s="3" t="s">
        <v>37</v>
      </c>
      <c r="E941" s="3" t="s">
        <v>43</v>
      </c>
      <c r="F941" s="3">
        <v>237.0</v>
      </c>
      <c r="G941" s="4" t="s">
        <v>15</v>
      </c>
      <c r="H941" s="3">
        <v>1.2183374038661932</v>
      </c>
    </row>
    <row r="942" ht="14.25" customHeight="1">
      <c r="A942" s="3" t="s">
        <v>26</v>
      </c>
      <c r="B942" s="3" t="s">
        <v>41</v>
      </c>
      <c r="C942" s="3" t="s">
        <v>42</v>
      </c>
      <c r="D942" s="3" t="s">
        <v>37</v>
      </c>
      <c r="E942" s="3" t="s">
        <v>43</v>
      </c>
      <c r="F942" s="3">
        <v>237.0</v>
      </c>
      <c r="G942" s="4" t="s">
        <v>16</v>
      </c>
      <c r="H942" s="3">
        <v>1.6116163592137442</v>
      </c>
    </row>
    <row r="943" ht="14.25" customHeight="1">
      <c r="A943" s="3" t="s">
        <v>26</v>
      </c>
      <c r="B943" s="3" t="s">
        <v>41</v>
      </c>
      <c r="C943" s="3" t="s">
        <v>42</v>
      </c>
      <c r="D943" s="3" t="s">
        <v>37</v>
      </c>
      <c r="E943" s="3" t="s">
        <v>43</v>
      </c>
      <c r="F943" s="3">
        <v>237.0</v>
      </c>
      <c r="G943" s="4" t="s">
        <v>17</v>
      </c>
      <c r="H943" s="3">
        <v>1.4620548487547302</v>
      </c>
    </row>
    <row r="944" ht="14.25" customHeight="1">
      <c r="A944" s="3" t="s">
        <v>26</v>
      </c>
      <c r="B944" s="3" t="s">
        <v>41</v>
      </c>
      <c r="C944" s="3" t="s">
        <v>42</v>
      </c>
      <c r="D944" s="3" t="s">
        <v>37</v>
      </c>
      <c r="E944" s="3" t="s">
        <v>43</v>
      </c>
      <c r="F944" s="3">
        <v>237.0</v>
      </c>
      <c r="G944" s="4" t="s">
        <v>18</v>
      </c>
      <c r="H944" s="3">
        <v>1.6223446361695582</v>
      </c>
    </row>
    <row r="945" ht="14.25" customHeight="1">
      <c r="A945" s="3" t="s">
        <v>26</v>
      </c>
      <c r="B945" s="3" t="s">
        <v>41</v>
      </c>
      <c r="C945" s="3" t="s">
        <v>42</v>
      </c>
      <c r="D945" s="3" t="s">
        <v>37</v>
      </c>
      <c r="E945" s="3" t="s">
        <v>43</v>
      </c>
      <c r="F945" s="3">
        <v>237.0</v>
      </c>
      <c r="G945" s="4" t="s">
        <v>19</v>
      </c>
      <c r="H945" s="3">
        <v>1.306020550352699</v>
      </c>
    </row>
    <row r="946" ht="14.25" customHeight="1">
      <c r="A946" s="3" t="s">
        <v>26</v>
      </c>
      <c r="B946" s="3" t="s">
        <v>41</v>
      </c>
      <c r="C946" s="3" t="s">
        <v>42</v>
      </c>
      <c r="D946" s="3" t="s">
        <v>37</v>
      </c>
      <c r="E946" s="3" t="s">
        <v>43</v>
      </c>
      <c r="F946" s="3">
        <v>237.0</v>
      </c>
      <c r="G946" s="4" t="s">
        <v>20</v>
      </c>
      <c r="H946" s="3">
        <v>1.4457994879451024</v>
      </c>
    </row>
    <row r="947" ht="14.25" customHeight="1">
      <c r="A947" s="3" t="s">
        <v>26</v>
      </c>
      <c r="B947" s="3" t="s">
        <v>41</v>
      </c>
      <c r="C947" s="3" t="s">
        <v>42</v>
      </c>
      <c r="D947" s="3" t="s">
        <v>37</v>
      </c>
      <c r="E947" s="3" t="s">
        <v>43</v>
      </c>
      <c r="F947" s="3">
        <v>237.0</v>
      </c>
      <c r="G947" s="4" t="s">
        <v>21</v>
      </c>
      <c r="H947" s="3">
        <v>1.8013309812685612</v>
      </c>
    </row>
    <row r="948" ht="14.25" customHeight="1">
      <c r="A948" s="3" t="s">
        <v>26</v>
      </c>
      <c r="B948" s="3" t="s">
        <v>41</v>
      </c>
      <c r="C948" s="3" t="s">
        <v>42</v>
      </c>
      <c r="D948" s="3" t="s">
        <v>37</v>
      </c>
      <c r="E948" s="3" t="s">
        <v>43</v>
      </c>
      <c r="F948" s="3">
        <v>237.0</v>
      </c>
      <c r="G948" s="4" t="s">
        <v>22</v>
      </c>
      <c r="H948" s="3">
        <v>1.813224785813899</v>
      </c>
    </row>
    <row r="949" ht="14.25" customHeight="1">
      <c r="A949" s="3" t="s">
        <v>26</v>
      </c>
      <c r="B949" s="3" t="s">
        <v>41</v>
      </c>
      <c r="C949" s="3" t="s">
        <v>44</v>
      </c>
      <c r="D949" s="3" t="s">
        <v>34</v>
      </c>
      <c r="E949" s="3" t="s">
        <v>43</v>
      </c>
      <c r="F949" s="3">
        <v>237.0</v>
      </c>
      <c r="G949" s="4" t="s">
        <v>15</v>
      </c>
      <c r="H949" s="3">
        <v>5.920654472944023</v>
      </c>
    </row>
    <row r="950" ht="14.25" customHeight="1">
      <c r="A950" s="3" t="s">
        <v>26</v>
      </c>
      <c r="B950" s="3" t="s">
        <v>41</v>
      </c>
      <c r="C950" s="3" t="s">
        <v>44</v>
      </c>
      <c r="D950" s="3" t="s">
        <v>34</v>
      </c>
      <c r="E950" s="3" t="s">
        <v>43</v>
      </c>
      <c r="F950" s="3">
        <v>237.0</v>
      </c>
      <c r="G950" s="4" t="s">
        <v>16</v>
      </c>
      <c r="H950" s="3">
        <v>5.874158701498404</v>
      </c>
    </row>
    <row r="951" ht="14.25" customHeight="1">
      <c r="A951" s="3" t="s">
        <v>26</v>
      </c>
      <c r="B951" s="3" t="s">
        <v>41</v>
      </c>
      <c r="C951" s="3" t="s">
        <v>44</v>
      </c>
      <c r="D951" s="3" t="s">
        <v>34</v>
      </c>
      <c r="E951" s="3" t="s">
        <v>43</v>
      </c>
      <c r="F951" s="3">
        <v>237.0</v>
      </c>
      <c r="G951" s="4" t="s">
        <v>17</v>
      </c>
      <c r="H951" s="3">
        <v>6.508361878345788</v>
      </c>
    </row>
    <row r="952" ht="14.25" customHeight="1">
      <c r="A952" s="3" t="s">
        <v>26</v>
      </c>
      <c r="B952" s="3" t="s">
        <v>41</v>
      </c>
      <c r="C952" s="3" t="s">
        <v>44</v>
      </c>
      <c r="D952" s="3" t="s">
        <v>34</v>
      </c>
      <c r="E952" s="3" t="s">
        <v>43</v>
      </c>
      <c r="F952" s="3">
        <v>237.0</v>
      </c>
      <c r="G952" s="4" t="s">
        <v>18</v>
      </c>
      <c r="H952" s="3">
        <v>6.727981190327446</v>
      </c>
    </row>
    <row r="953" ht="14.25" customHeight="1">
      <c r="A953" s="3" t="s">
        <v>26</v>
      </c>
      <c r="B953" s="3" t="s">
        <v>41</v>
      </c>
      <c r="C953" s="3" t="s">
        <v>44</v>
      </c>
      <c r="D953" s="3" t="s">
        <v>34</v>
      </c>
      <c r="E953" s="3" t="s">
        <v>43</v>
      </c>
      <c r="F953" s="3">
        <v>237.0</v>
      </c>
      <c r="G953" s="4" t="s">
        <v>19</v>
      </c>
      <c r="H953" s="3">
        <v>5.9868705847540955</v>
      </c>
    </row>
    <row r="954" ht="14.25" customHeight="1">
      <c r="A954" s="3" t="s">
        <v>26</v>
      </c>
      <c r="B954" s="3" t="s">
        <v>41</v>
      </c>
      <c r="C954" s="3" t="s">
        <v>44</v>
      </c>
      <c r="D954" s="3" t="s">
        <v>34</v>
      </c>
      <c r="E954" s="3" t="s">
        <v>43</v>
      </c>
      <c r="F954" s="3">
        <v>237.0</v>
      </c>
      <c r="G954" s="4" t="s">
        <v>20</v>
      </c>
      <c r="H954" s="3">
        <v>7.3503092225329585</v>
      </c>
    </row>
    <row r="955" ht="14.25" customHeight="1">
      <c r="A955" s="3" t="s">
        <v>26</v>
      </c>
      <c r="B955" s="3" t="s">
        <v>41</v>
      </c>
      <c r="C955" s="3" t="s">
        <v>44</v>
      </c>
      <c r="D955" s="3" t="s">
        <v>34</v>
      </c>
      <c r="E955" s="3" t="s">
        <v>43</v>
      </c>
      <c r="F955" s="3">
        <v>237.0</v>
      </c>
      <c r="G955" s="4" t="s">
        <v>21</v>
      </c>
      <c r="H955" s="3">
        <v>7.437769426422514</v>
      </c>
    </row>
    <row r="956" ht="14.25" customHeight="1">
      <c r="A956" s="3" t="s">
        <v>26</v>
      </c>
      <c r="B956" s="3" t="s">
        <v>41</v>
      </c>
      <c r="C956" s="3" t="s">
        <v>44</v>
      </c>
      <c r="D956" s="3" t="s">
        <v>34</v>
      </c>
      <c r="E956" s="3" t="s">
        <v>43</v>
      </c>
      <c r="F956" s="3">
        <v>237.0</v>
      </c>
      <c r="G956" s="4" t="s">
        <v>22</v>
      </c>
      <c r="H956" s="3">
        <v>7.83885696442764</v>
      </c>
    </row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2.86"/>
    <col customWidth="1" min="2" max="2" width="16.0"/>
    <col customWidth="1" min="3" max="3" width="14.29"/>
    <col customWidth="1" min="4" max="4" width="10.57"/>
    <col customWidth="1" min="5" max="6" width="9.14"/>
    <col customWidth="1" min="7" max="10" width="17.29"/>
    <col customWidth="1" min="11" max="11" width="12.29"/>
    <col customWidth="1" min="12" max="12" width="14.71"/>
    <col customWidth="1" min="13" max="13" width="17.5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47</v>
      </c>
      <c r="H1" s="2" t="s">
        <v>48</v>
      </c>
      <c r="I1" s="2" t="s">
        <v>49</v>
      </c>
      <c r="J1" s="1" t="s">
        <v>7</v>
      </c>
      <c r="K1" s="2" t="s">
        <v>8</v>
      </c>
      <c r="L1" s="2" t="s">
        <v>9</v>
      </c>
      <c r="M1" s="2" t="s">
        <v>50</v>
      </c>
    </row>
    <row r="2">
      <c r="A2" s="10" t="s">
        <v>10</v>
      </c>
      <c r="B2" s="10" t="s">
        <v>11</v>
      </c>
      <c r="C2" s="10" t="s">
        <v>12</v>
      </c>
      <c r="D2" s="10" t="s">
        <v>13</v>
      </c>
      <c r="E2" s="10" t="s">
        <v>14</v>
      </c>
      <c r="F2" s="10">
        <v>110.0</v>
      </c>
      <c r="G2" s="10" t="str">
        <f>IFERROR(VLOOKUP(C2&amp;D2&amp;E2&amp;F2,productID!$A$2:$B$7,2,FALSE))</f>
        <v/>
      </c>
      <c r="H2" s="10">
        <v>2022.0</v>
      </c>
      <c r="I2" s="10" t="s">
        <v>51</v>
      </c>
      <c r="J2" s="10">
        <v>21.63086952226257</v>
      </c>
      <c r="K2" s="11"/>
      <c r="L2" s="12"/>
      <c r="M2" s="9">
        <v>1.895686536781803</v>
      </c>
    </row>
    <row r="3">
      <c r="A3" s="10" t="s">
        <v>10</v>
      </c>
      <c r="B3" s="10" t="s">
        <v>11</v>
      </c>
      <c r="C3" s="10" t="s">
        <v>12</v>
      </c>
      <c r="D3" s="10" t="s">
        <v>13</v>
      </c>
      <c r="E3" s="10" t="s">
        <v>14</v>
      </c>
      <c r="F3" s="10">
        <v>110.0</v>
      </c>
      <c r="G3" s="10" t="str">
        <f>IFERROR(VLOOKUP(C3&amp;D3&amp;E3&amp;F3,productID!$A$2:$B$7,2,FALSE))</f>
        <v/>
      </c>
      <c r="H3" s="10">
        <v>2022.0</v>
      </c>
      <c r="I3" s="10" t="s">
        <v>52</v>
      </c>
      <c r="J3" s="10">
        <v>20.190850367289443</v>
      </c>
      <c r="K3" s="11"/>
      <c r="L3" s="12"/>
      <c r="M3" s="9">
        <v>1.7621762211286103</v>
      </c>
    </row>
    <row r="4">
      <c r="A4" s="10" t="s">
        <v>10</v>
      </c>
      <c r="B4" s="10" t="s">
        <v>11</v>
      </c>
      <c r="C4" s="10" t="s">
        <v>12</v>
      </c>
      <c r="D4" s="10" t="s">
        <v>13</v>
      </c>
      <c r="E4" s="10" t="s">
        <v>14</v>
      </c>
      <c r="F4" s="10">
        <v>110.0</v>
      </c>
      <c r="G4" s="10" t="str">
        <f>IFERROR(VLOOKUP(C4&amp;D4&amp;E4&amp;F4,productID!$A$2:$B$7,2,FALSE))</f>
        <v/>
      </c>
      <c r="H4" s="10">
        <v>2022.0</v>
      </c>
      <c r="I4" s="10" t="s">
        <v>53</v>
      </c>
      <c r="J4" s="10">
        <v>22.29609672352069</v>
      </c>
      <c r="K4" s="11"/>
      <c r="L4" s="12"/>
      <c r="M4" s="9">
        <v>1.9489325594538625</v>
      </c>
    </row>
    <row r="5">
      <c r="A5" s="10" t="s">
        <v>10</v>
      </c>
      <c r="B5" s="10" t="s">
        <v>11</v>
      </c>
      <c r="C5" s="10" t="s">
        <v>12</v>
      </c>
      <c r="D5" s="10" t="s">
        <v>13</v>
      </c>
      <c r="E5" s="10" t="s">
        <v>14</v>
      </c>
      <c r="F5" s="10">
        <v>110.0</v>
      </c>
      <c r="G5" s="10" t="str">
        <f>IFERROR(VLOOKUP(C5&amp;D5&amp;E5&amp;F5,productID!$A$2:$B$7,2,FALSE))</f>
        <v/>
      </c>
      <c r="H5" s="10">
        <v>2022.0</v>
      </c>
      <c r="I5" s="10" t="s">
        <v>54</v>
      </c>
      <c r="J5" s="10">
        <v>16.951507897500846</v>
      </c>
      <c r="K5" s="11"/>
      <c r="L5" s="12"/>
      <c r="M5" s="9">
        <v>1.5351031644937283</v>
      </c>
    </row>
    <row r="6">
      <c r="A6" s="10" t="s">
        <v>10</v>
      </c>
      <c r="B6" s="10" t="s">
        <v>11</v>
      </c>
      <c r="C6" s="10" t="s">
        <v>12</v>
      </c>
      <c r="D6" s="10" t="s">
        <v>13</v>
      </c>
      <c r="E6" s="10" t="s">
        <v>14</v>
      </c>
      <c r="F6" s="10">
        <v>110.0</v>
      </c>
      <c r="G6" s="10" t="str">
        <f>IFERROR(VLOOKUP(C6&amp;D6&amp;E6&amp;F6,productID!$A$2:$B$7,2,FALSE))</f>
        <v/>
      </c>
      <c r="H6" s="10">
        <v>2023.0</v>
      </c>
      <c r="I6" s="10" t="s">
        <v>51</v>
      </c>
      <c r="J6" s="10">
        <v>18.149618535905404</v>
      </c>
      <c r="K6" s="11"/>
      <c r="L6" s="12"/>
      <c r="M6" s="9">
        <v>1.5389488908343036</v>
      </c>
    </row>
    <row r="7">
      <c r="A7" s="10" t="s">
        <v>10</v>
      </c>
      <c r="B7" s="10" t="s">
        <v>11</v>
      </c>
      <c r="C7" s="10" t="s">
        <v>12</v>
      </c>
      <c r="D7" s="10" t="s">
        <v>13</v>
      </c>
      <c r="E7" s="10" t="s">
        <v>14</v>
      </c>
      <c r="F7" s="10">
        <v>110.0</v>
      </c>
      <c r="G7" s="10" t="str">
        <f>IFERROR(VLOOKUP(C7&amp;D7&amp;E7&amp;F7,productID!$A$2:$B$7,2,FALSE))</f>
        <v/>
      </c>
      <c r="H7" s="10">
        <v>2023.0</v>
      </c>
      <c r="I7" s="10" t="s">
        <v>52</v>
      </c>
      <c r="J7" s="10">
        <v>16.480294209844686</v>
      </c>
      <c r="K7" s="11"/>
      <c r="L7" s="12"/>
      <c r="M7" s="9">
        <v>1.3024046111065624</v>
      </c>
    </row>
    <row r="8">
      <c r="A8" s="10" t="s">
        <v>10</v>
      </c>
      <c r="B8" s="10" t="s">
        <v>11</v>
      </c>
      <c r="C8" s="10" t="s">
        <v>12</v>
      </c>
      <c r="D8" s="10" t="s">
        <v>13</v>
      </c>
      <c r="E8" s="10" t="s">
        <v>14</v>
      </c>
      <c r="F8" s="10">
        <v>110.0</v>
      </c>
      <c r="G8" s="10" t="str">
        <f>IFERROR(VLOOKUP(C8&amp;D8&amp;E8&amp;F8,productID!$A$2:$B$7,2,FALSE))</f>
        <v/>
      </c>
      <c r="H8" s="10">
        <v>2023.0</v>
      </c>
      <c r="I8" s="10" t="s">
        <v>53</v>
      </c>
      <c r="J8" s="10">
        <v>17.84299350345168</v>
      </c>
      <c r="K8" s="11"/>
      <c r="L8" s="12"/>
      <c r="M8" s="9">
        <v>1.445354979386722</v>
      </c>
    </row>
    <row r="9">
      <c r="A9" s="10" t="s">
        <v>10</v>
      </c>
      <c r="B9" s="10" t="s">
        <v>11</v>
      </c>
      <c r="C9" s="10" t="s">
        <v>12</v>
      </c>
      <c r="D9" s="10" t="s">
        <v>13</v>
      </c>
      <c r="E9" s="10" t="s">
        <v>14</v>
      </c>
      <c r="F9" s="10">
        <v>110.0</v>
      </c>
      <c r="G9" s="10" t="str">
        <f>IFERROR(VLOOKUP(C9&amp;D9&amp;E9&amp;F9,productID!$A$2:$B$7,2,FALSE))</f>
        <v/>
      </c>
      <c r="H9" s="10">
        <v>2023.0</v>
      </c>
      <c r="I9" s="10" t="s">
        <v>54</v>
      </c>
      <c r="J9" s="10">
        <v>16.109676559284026</v>
      </c>
      <c r="K9" s="11"/>
      <c r="L9" s="12"/>
      <c r="M9" s="9">
        <v>1.3861679103022997</v>
      </c>
    </row>
    <row r="10">
      <c r="A10" s="10" t="s">
        <v>24</v>
      </c>
      <c r="B10" s="10" t="s">
        <v>11</v>
      </c>
      <c r="C10" s="10" t="s">
        <v>12</v>
      </c>
      <c r="D10" s="10" t="s">
        <v>13</v>
      </c>
      <c r="E10" s="10" t="s">
        <v>14</v>
      </c>
      <c r="F10" s="10">
        <v>110.0</v>
      </c>
      <c r="G10" s="10" t="str">
        <f>IFERROR(VLOOKUP(C10&amp;D10&amp;E10&amp;F10,productID!$A$2:$B$7,2,FALSE))</f>
        <v/>
      </c>
      <c r="H10" s="10">
        <v>2022.0</v>
      </c>
      <c r="I10" s="10" t="s">
        <v>51</v>
      </c>
      <c r="J10" s="10">
        <v>104.04915633571545</v>
      </c>
      <c r="K10" s="11"/>
      <c r="L10" s="12"/>
      <c r="M10" s="9">
        <v>11.620646113139898</v>
      </c>
    </row>
    <row r="11">
      <c r="A11" s="10" t="s">
        <v>24</v>
      </c>
      <c r="B11" s="10" t="s">
        <v>11</v>
      </c>
      <c r="C11" s="10" t="s">
        <v>12</v>
      </c>
      <c r="D11" s="10" t="s">
        <v>13</v>
      </c>
      <c r="E11" s="10" t="s">
        <v>14</v>
      </c>
      <c r="F11" s="10">
        <v>110.0</v>
      </c>
      <c r="G11" s="10" t="str">
        <f>IFERROR(VLOOKUP(C11&amp;D11&amp;E11&amp;F11,productID!$A$2:$B$7,2,FALSE))</f>
        <v/>
      </c>
      <c r="H11" s="10">
        <v>2022.0</v>
      </c>
      <c r="I11" s="10" t="s">
        <v>52</v>
      </c>
      <c r="J11" s="10">
        <v>109.53843201569924</v>
      </c>
      <c r="K11" s="11"/>
      <c r="L11" s="12"/>
      <c r="M11" s="9">
        <v>11.694166097211173</v>
      </c>
    </row>
    <row r="12">
      <c r="A12" s="10" t="s">
        <v>24</v>
      </c>
      <c r="B12" s="10" t="s">
        <v>11</v>
      </c>
      <c r="C12" s="10" t="s">
        <v>12</v>
      </c>
      <c r="D12" s="10" t="s">
        <v>13</v>
      </c>
      <c r="E12" s="10" t="s">
        <v>14</v>
      </c>
      <c r="F12" s="10">
        <v>110.0</v>
      </c>
      <c r="G12" s="10" t="str">
        <f>IFERROR(VLOOKUP(C12&amp;D12&amp;E12&amp;F12,productID!$A$2:$B$7,2,FALSE))</f>
        <v/>
      </c>
      <c r="H12" s="10">
        <v>2022.0</v>
      </c>
      <c r="I12" s="10" t="s">
        <v>53</v>
      </c>
      <c r="J12" s="10">
        <v>115.22615320378252</v>
      </c>
      <c r="K12" s="11"/>
      <c r="L12" s="12"/>
      <c r="M12" s="9">
        <v>11.973059288484329</v>
      </c>
    </row>
    <row r="13">
      <c r="A13" s="10" t="s">
        <v>24</v>
      </c>
      <c r="B13" s="10" t="s">
        <v>11</v>
      </c>
      <c r="C13" s="10" t="s">
        <v>12</v>
      </c>
      <c r="D13" s="10" t="s">
        <v>13</v>
      </c>
      <c r="E13" s="10" t="s">
        <v>14</v>
      </c>
      <c r="F13" s="10">
        <v>110.0</v>
      </c>
      <c r="G13" s="10" t="str">
        <f>IFERROR(VLOOKUP(C13&amp;D13&amp;E13&amp;F13,productID!$A$2:$B$7,2,FALSE))</f>
        <v/>
      </c>
      <c r="H13" s="10">
        <v>2022.0</v>
      </c>
      <c r="I13" s="10" t="s">
        <v>54</v>
      </c>
      <c r="J13" s="10">
        <v>106.01564422428436</v>
      </c>
      <c r="K13" s="11"/>
      <c r="L13" s="12"/>
      <c r="M13" s="9">
        <v>11.381115607387049</v>
      </c>
    </row>
    <row r="14">
      <c r="A14" s="10" t="s">
        <v>24</v>
      </c>
      <c r="B14" s="10" t="s">
        <v>11</v>
      </c>
      <c r="C14" s="10" t="s">
        <v>12</v>
      </c>
      <c r="D14" s="10" t="s">
        <v>13</v>
      </c>
      <c r="E14" s="10" t="s">
        <v>14</v>
      </c>
      <c r="F14" s="10">
        <v>110.0</v>
      </c>
      <c r="G14" s="10" t="str">
        <f>IFERROR(VLOOKUP(C14&amp;D14&amp;E14&amp;F14,productID!$A$2:$B$7,2,FALSE))</f>
        <v/>
      </c>
      <c r="H14" s="10">
        <v>2023.0</v>
      </c>
      <c r="I14" s="10" t="s">
        <v>51</v>
      </c>
      <c r="J14" s="10">
        <v>97.84402749021362</v>
      </c>
      <c r="K14" s="11"/>
      <c r="L14" s="12"/>
      <c r="M14" s="9">
        <v>10.231927723220611</v>
      </c>
    </row>
    <row r="15">
      <c r="A15" s="10" t="s">
        <v>24</v>
      </c>
      <c r="B15" s="10" t="s">
        <v>11</v>
      </c>
      <c r="C15" s="10" t="s">
        <v>12</v>
      </c>
      <c r="D15" s="10" t="s">
        <v>13</v>
      </c>
      <c r="E15" s="10" t="s">
        <v>14</v>
      </c>
      <c r="F15" s="10">
        <v>110.0</v>
      </c>
      <c r="G15" s="10" t="str">
        <f>IFERROR(VLOOKUP(C15&amp;D15&amp;E15&amp;F15,productID!$A$2:$B$7,2,FALSE))</f>
        <v/>
      </c>
      <c r="H15" s="10">
        <v>2023.0</v>
      </c>
      <c r="I15" s="10" t="s">
        <v>52</v>
      </c>
      <c r="J15" s="10">
        <v>103.58072272870523</v>
      </c>
      <c r="K15" s="11"/>
      <c r="L15" s="12"/>
      <c r="M15" s="9">
        <v>10.689826202612059</v>
      </c>
    </row>
    <row r="16">
      <c r="A16" s="10" t="s">
        <v>24</v>
      </c>
      <c r="B16" s="10" t="s">
        <v>11</v>
      </c>
      <c r="C16" s="10" t="s">
        <v>12</v>
      </c>
      <c r="D16" s="10" t="s">
        <v>13</v>
      </c>
      <c r="E16" s="10" t="s">
        <v>14</v>
      </c>
      <c r="F16" s="10">
        <v>110.0</v>
      </c>
      <c r="G16" s="10" t="str">
        <f>IFERROR(VLOOKUP(C16&amp;D16&amp;E16&amp;F16,productID!$A$2:$B$7,2,FALSE))</f>
        <v/>
      </c>
      <c r="H16" s="10">
        <v>2023.0</v>
      </c>
      <c r="I16" s="10" t="s">
        <v>53</v>
      </c>
      <c r="J16" s="10">
        <v>107.92421714613546</v>
      </c>
      <c r="K16" s="11"/>
      <c r="L16" s="12"/>
      <c r="M16" s="9">
        <v>11.8551932803626</v>
      </c>
    </row>
    <row r="17">
      <c r="A17" s="10" t="s">
        <v>24</v>
      </c>
      <c r="B17" s="10" t="s">
        <v>11</v>
      </c>
      <c r="C17" s="10" t="s">
        <v>12</v>
      </c>
      <c r="D17" s="10" t="s">
        <v>13</v>
      </c>
      <c r="E17" s="10" t="s">
        <v>14</v>
      </c>
      <c r="F17" s="10">
        <v>110.0</v>
      </c>
      <c r="G17" s="10" t="str">
        <f>IFERROR(VLOOKUP(C17&amp;D17&amp;E17&amp;F17,productID!$A$2:$B$7,2,FALSE))</f>
        <v/>
      </c>
      <c r="H17" s="10">
        <v>2023.0</v>
      </c>
      <c r="I17" s="10" t="s">
        <v>54</v>
      </c>
      <c r="J17" s="10">
        <v>100.12199087902029</v>
      </c>
      <c r="K17" s="11"/>
      <c r="L17" s="12"/>
      <c r="M17" s="9">
        <v>12.697007790706044</v>
      </c>
    </row>
    <row r="18">
      <c r="A18" s="10" t="s">
        <v>25</v>
      </c>
      <c r="B18" s="10" t="s">
        <v>11</v>
      </c>
      <c r="C18" s="10" t="s">
        <v>12</v>
      </c>
      <c r="D18" s="10" t="s">
        <v>13</v>
      </c>
      <c r="E18" s="10" t="s">
        <v>14</v>
      </c>
      <c r="F18" s="10">
        <v>110.0</v>
      </c>
      <c r="G18" s="10" t="str">
        <f>IFERROR(VLOOKUP(C18&amp;D18&amp;E18&amp;F18,productID!$A$2:$B$7,2,FALSE))</f>
        <v/>
      </c>
      <c r="H18" s="10">
        <v>2022.0</v>
      </c>
      <c r="I18" s="10" t="s">
        <v>51</v>
      </c>
      <c r="J18" s="10">
        <v>64.01031230049325</v>
      </c>
      <c r="K18" s="11"/>
      <c r="L18" s="12"/>
      <c r="M18" s="9">
        <v>6.550091174993472</v>
      </c>
    </row>
    <row r="19">
      <c r="A19" s="10" t="s">
        <v>25</v>
      </c>
      <c r="B19" s="10" t="s">
        <v>11</v>
      </c>
      <c r="C19" s="10" t="s">
        <v>12</v>
      </c>
      <c r="D19" s="10" t="s">
        <v>13</v>
      </c>
      <c r="E19" s="10" t="s">
        <v>14</v>
      </c>
      <c r="F19" s="10">
        <v>110.0</v>
      </c>
      <c r="G19" s="10" t="str">
        <f>IFERROR(VLOOKUP(C19&amp;D19&amp;E19&amp;F19,productID!$A$2:$B$7,2,FALSE))</f>
        <v/>
      </c>
      <c r="H19" s="10">
        <v>2022.0</v>
      </c>
      <c r="I19" s="10" t="s">
        <v>52</v>
      </c>
      <c r="J19" s="10">
        <v>53.7315710750225</v>
      </c>
      <c r="K19" s="11"/>
      <c r="L19" s="12"/>
      <c r="M19" s="9">
        <v>5.449843229965444</v>
      </c>
    </row>
    <row r="20">
      <c r="A20" s="10" t="s">
        <v>25</v>
      </c>
      <c r="B20" s="10" t="s">
        <v>11</v>
      </c>
      <c r="C20" s="10" t="s">
        <v>12</v>
      </c>
      <c r="D20" s="10" t="s">
        <v>13</v>
      </c>
      <c r="E20" s="10" t="s">
        <v>14</v>
      </c>
      <c r="F20" s="10">
        <v>110.0</v>
      </c>
      <c r="G20" s="10" t="str">
        <f>IFERROR(VLOOKUP(C20&amp;D20&amp;E20&amp;F20,productID!$A$2:$B$7,2,FALSE))</f>
        <v/>
      </c>
      <c r="H20" s="10">
        <v>2022.0</v>
      </c>
      <c r="I20" s="10" t="s">
        <v>53</v>
      </c>
      <c r="J20" s="10">
        <v>58.52150457004086</v>
      </c>
      <c r="K20" s="11"/>
      <c r="L20" s="12"/>
      <c r="M20" s="9">
        <v>5.70786072762166</v>
      </c>
    </row>
    <row r="21">
      <c r="A21" s="10" t="s">
        <v>25</v>
      </c>
      <c r="B21" s="10" t="s">
        <v>11</v>
      </c>
      <c r="C21" s="10" t="s">
        <v>12</v>
      </c>
      <c r="D21" s="10" t="s">
        <v>13</v>
      </c>
      <c r="E21" s="10" t="s">
        <v>14</v>
      </c>
      <c r="F21" s="10">
        <v>110.0</v>
      </c>
      <c r="G21" s="10" t="str">
        <f>IFERROR(VLOOKUP(C21&amp;D21&amp;E21&amp;F21,productID!$A$2:$B$7,2,FALSE))</f>
        <v/>
      </c>
      <c r="H21" s="10">
        <v>2022.0</v>
      </c>
      <c r="I21" s="10" t="s">
        <v>54</v>
      </c>
      <c r="J21" s="10">
        <v>55.55663301549312</v>
      </c>
      <c r="K21" s="11"/>
      <c r="L21" s="12"/>
      <c r="M21" s="9">
        <v>5.345203790380664</v>
      </c>
    </row>
    <row r="22">
      <c r="A22" s="10" t="s">
        <v>25</v>
      </c>
      <c r="B22" s="10" t="s">
        <v>11</v>
      </c>
      <c r="C22" s="10" t="s">
        <v>12</v>
      </c>
      <c r="D22" s="10" t="s">
        <v>13</v>
      </c>
      <c r="E22" s="10" t="s">
        <v>14</v>
      </c>
      <c r="F22" s="10">
        <v>110.0</v>
      </c>
      <c r="G22" s="10" t="str">
        <f>IFERROR(VLOOKUP(C22&amp;D22&amp;E22&amp;F22,productID!$A$2:$B$7,2,FALSE))</f>
        <v/>
      </c>
      <c r="H22" s="10">
        <v>2023.0</v>
      </c>
      <c r="I22" s="10" t="s">
        <v>51</v>
      </c>
      <c r="J22" s="10">
        <v>50.63848461416832</v>
      </c>
      <c r="K22" s="11"/>
      <c r="L22" s="12"/>
      <c r="M22" s="9">
        <v>4.611294268831101</v>
      </c>
    </row>
    <row r="23">
      <c r="A23" s="10" t="s">
        <v>25</v>
      </c>
      <c r="B23" s="10" t="s">
        <v>11</v>
      </c>
      <c r="C23" s="10" t="s">
        <v>12</v>
      </c>
      <c r="D23" s="10" t="s">
        <v>13</v>
      </c>
      <c r="E23" s="10" t="s">
        <v>14</v>
      </c>
      <c r="F23" s="10">
        <v>110.0</v>
      </c>
      <c r="G23" s="10" t="str">
        <f>IFERROR(VLOOKUP(C23&amp;D23&amp;E23&amp;F23,productID!$A$2:$B$7,2,FALSE))</f>
        <v/>
      </c>
      <c r="H23" s="10">
        <v>2023.0</v>
      </c>
      <c r="I23" s="10" t="s">
        <v>52</v>
      </c>
      <c r="J23" s="10">
        <v>45.05407783131288</v>
      </c>
      <c r="K23" s="11"/>
      <c r="L23" s="12"/>
      <c r="M23" s="9">
        <v>4.045219936385669</v>
      </c>
    </row>
    <row r="24">
      <c r="A24" s="10" t="s">
        <v>25</v>
      </c>
      <c r="B24" s="10" t="s">
        <v>11</v>
      </c>
      <c r="C24" s="10" t="s">
        <v>12</v>
      </c>
      <c r="D24" s="10" t="s">
        <v>13</v>
      </c>
      <c r="E24" s="10" t="s">
        <v>14</v>
      </c>
      <c r="F24" s="10">
        <v>110.0</v>
      </c>
      <c r="G24" s="10" t="str">
        <f>IFERROR(VLOOKUP(C24&amp;D24&amp;E24&amp;F24,productID!$A$2:$B$7,2,FALSE))</f>
        <v/>
      </c>
      <c r="H24" s="10">
        <v>2023.0</v>
      </c>
      <c r="I24" s="10" t="s">
        <v>53</v>
      </c>
      <c r="J24" s="10">
        <v>43.57914938703833</v>
      </c>
      <c r="K24" s="11"/>
      <c r="L24" s="12"/>
      <c r="M24" s="9">
        <v>4.15335399880698</v>
      </c>
    </row>
    <row r="25">
      <c r="A25" s="10" t="s">
        <v>25</v>
      </c>
      <c r="B25" s="10" t="s">
        <v>11</v>
      </c>
      <c r="C25" s="10" t="s">
        <v>12</v>
      </c>
      <c r="D25" s="10" t="s">
        <v>13</v>
      </c>
      <c r="E25" s="10" t="s">
        <v>14</v>
      </c>
      <c r="F25" s="10">
        <v>110.0</v>
      </c>
      <c r="G25" s="10" t="str">
        <f>IFERROR(VLOOKUP(C25&amp;D25&amp;E25&amp;F25,productID!$A$2:$B$7,2,FALSE))</f>
        <v/>
      </c>
      <c r="H25" s="10">
        <v>2023.0</v>
      </c>
      <c r="I25" s="10" t="s">
        <v>54</v>
      </c>
      <c r="J25" s="10">
        <v>41.81005037841282</v>
      </c>
      <c r="K25" s="11"/>
      <c r="L25" s="12"/>
      <c r="M25" s="9">
        <v>4.255456702028827</v>
      </c>
    </row>
    <row r="26">
      <c r="A26" s="10" t="s">
        <v>26</v>
      </c>
      <c r="B26" s="10" t="s">
        <v>11</v>
      </c>
      <c r="C26" s="10" t="s">
        <v>12</v>
      </c>
      <c r="D26" s="10" t="s">
        <v>13</v>
      </c>
      <c r="E26" s="10" t="s">
        <v>14</v>
      </c>
      <c r="F26" s="10">
        <v>110.0</v>
      </c>
      <c r="G26" s="10" t="str">
        <f>IFERROR(VLOOKUP(C26&amp;D26&amp;E26&amp;F26,productID!$A$2:$B$7,2,FALSE))</f>
        <v/>
      </c>
      <c r="H26" s="10">
        <v>2022.0</v>
      </c>
      <c r="I26" s="10" t="s">
        <v>51</v>
      </c>
      <c r="J26" s="10">
        <v>75.16678239044711</v>
      </c>
      <c r="K26" s="11"/>
      <c r="L26" s="12"/>
      <c r="M26" s="9">
        <v>3.6387882825162627</v>
      </c>
    </row>
    <row r="27">
      <c r="A27" s="10" t="s">
        <v>26</v>
      </c>
      <c r="B27" s="10" t="s">
        <v>11</v>
      </c>
      <c r="C27" s="10" t="s">
        <v>12</v>
      </c>
      <c r="D27" s="10" t="s">
        <v>13</v>
      </c>
      <c r="E27" s="10" t="s">
        <v>14</v>
      </c>
      <c r="F27" s="10">
        <v>110.0</v>
      </c>
      <c r="G27" s="10" t="str">
        <f>IFERROR(VLOOKUP(C27&amp;D27&amp;E27&amp;F27,productID!$A$2:$B$7,2,FALSE))</f>
        <v/>
      </c>
      <c r="H27" s="10">
        <v>2022.0</v>
      </c>
      <c r="I27" s="10" t="s">
        <v>52</v>
      </c>
      <c r="J27" s="10">
        <v>64.72826996344685</v>
      </c>
      <c r="K27" s="11"/>
      <c r="L27" s="12"/>
      <c r="M27" s="9">
        <v>3.0823391316270037</v>
      </c>
    </row>
    <row r="28">
      <c r="A28" s="10" t="s">
        <v>26</v>
      </c>
      <c r="B28" s="10" t="s">
        <v>11</v>
      </c>
      <c r="C28" s="10" t="s">
        <v>12</v>
      </c>
      <c r="D28" s="10" t="s">
        <v>13</v>
      </c>
      <c r="E28" s="10" t="s">
        <v>14</v>
      </c>
      <c r="F28" s="10">
        <v>110.0</v>
      </c>
      <c r="G28" s="10" t="str">
        <f>IFERROR(VLOOKUP(C28&amp;D28&amp;E28&amp;F28,productID!$A$2:$B$7,2,FALSE))</f>
        <v/>
      </c>
      <c r="H28" s="10">
        <v>2022.0</v>
      </c>
      <c r="I28" s="10" t="s">
        <v>53</v>
      </c>
      <c r="J28" s="10">
        <v>65.6561053513167</v>
      </c>
      <c r="K28" s="11"/>
      <c r="L28" s="12"/>
      <c r="M28" s="9">
        <v>3.1347111448085387</v>
      </c>
    </row>
    <row r="29">
      <c r="A29" s="10" t="s">
        <v>26</v>
      </c>
      <c r="B29" s="10" t="s">
        <v>11</v>
      </c>
      <c r="C29" s="10" t="s">
        <v>12</v>
      </c>
      <c r="D29" s="10" t="s">
        <v>13</v>
      </c>
      <c r="E29" s="10" t="s">
        <v>14</v>
      </c>
      <c r="F29" s="10">
        <v>110.0</v>
      </c>
      <c r="G29" s="10" t="str">
        <f>IFERROR(VLOOKUP(C29&amp;D29&amp;E29&amp;F29,productID!$A$2:$B$7,2,FALSE))</f>
        <v/>
      </c>
      <c r="H29" s="10">
        <v>2022.0</v>
      </c>
      <c r="I29" s="10" t="s">
        <v>54</v>
      </c>
      <c r="J29" s="10">
        <v>65.87930203032934</v>
      </c>
      <c r="K29" s="11"/>
      <c r="L29" s="12"/>
      <c r="M29" s="9">
        <v>3.085934940743916</v>
      </c>
    </row>
    <row r="30">
      <c r="A30" s="10" t="s">
        <v>26</v>
      </c>
      <c r="B30" s="10" t="s">
        <v>11</v>
      </c>
      <c r="C30" s="10" t="s">
        <v>12</v>
      </c>
      <c r="D30" s="10" t="s">
        <v>13</v>
      </c>
      <c r="E30" s="10" t="s">
        <v>14</v>
      </c>
      <c r="F30" s="10">
        <v>110.0</v>
      </c>
      <c r="G30" s="10" t="str">
        <f>IFERROR(VLOOKUP(C30&amp;D30&amp;E30&amp;F30,productID!$A$2:$B$7,2,FALSE))</f>
        <v/>
      </c>
      <c r="H30" s="10">
        <v>2023.0</v>
      </c>
      <c r="I30" s="10" t="s">
        <v>51</v>
      </c>
      <c r="J30" s="10">
        <v>61.365083139288636</v>
      </c>
      <c r="K30" s="11"/>
      <c r="L30" s="12"/>
      <c r="M30" s="9">
        <v>2.846071451657136</v>
      </c>
    </row>
    <row r="31">
      <c r="A31" s="10" t="s">
        <v>26</v>
      </c>
      <c r="B31" s="10" t="s">
        <v>11</v>
      </c>
      <c r="C31" s="10" t="s">
        <v>12</v>
      </c>
      <c r="D31" s="10" t="s">
        <v>13</v>
      </c>
      <c r="E31" s="10" t="s">
        <v>14</v>
      </c>
      <c r="F31" s="10">
        <v>110.0</v>
      </c>
      <c r="G31" s="10" t="str">
        <f>IFERROR(VLOOKUP(C31&amp;D31&amp;E31&amp;F31,productID!$A$2:$B$7,2,FALSE))</f>
        <v/>
      </c>
      <c r="H31" s="10">
        <v>2023.0</v>
      </c>
      <c r="I31" s="10" t="s">
        <v>52</v>
      </c>
      <c r="J31" s="10">
        <v>56.8007202004184</v>
      </c>
      <c r="K31" s="11"/>
      <c r="L31" s="12"/>
      <c r="M31" s="9">
        <v>2.549086347006466</v>
      </c>
    </row>
    <row r="32">
      <c r="A32" s="10" t="s">
        <v>26</v>
      </c>
      <c r="B32" s="10" t="s">
        <v>11</v>
      </c>
      <c r="C32" s="10" t="s">
        <v>12</v>
      </c>
      <c r="D32" s="10" t="s">
        <v>13</v>
      </c>
      <c r="E32" s="10" t="s">
        <v>14</v>
      </c>
      <c r="F32" s="10">
        <v>110.0</v>
      </c>
      <c r="G32" s="10" t="str">
        <f>IFERROR(VLOOKUP(C32&amp;D32&amp;E32&amp;F32,productID!$A$2:$B$7,2,FALSE))</f>
        <v/>
      </c>
      <c r="H32" s="10">
        <v>2023.0</v>
      </c>
      <c r="I32" s="10" t="s">
        <v>53</v>
      </c>
      <c r="J32" s="10">
        <v>52.657661203230575</v>
      </c>
      <c r="K32" s="11"/>
      <c r="L32" s="12"/>
      <c r="M32" s="9">
        <v>2.416287079127589</v>
      </c>
    </row>
    <row r="33">
      <c r="A33" s="10" t="s">
        <v>26</v>
      </c>
      <c r="B33" s="10" t="s">
        <v>11</v>
      </c>
      <c r="C33" s="10" t="s">
        <v>12</v>
      </c>
      <c r="D33" s="10" t="s">
        <v>13</v>
      </c>
      <c r="E33" s="10" t="s">
        <v>14</v>
      </c>
      <c r="F33" s="10">
        <v>110.0</v>
      </c>
      <c r="G33" s="10" t="str">
        <f>IFERROR(VLOOKUP(C33&amp;D33&amp;E33&amp;F33,productID!$A$2:$B$7,2,FALSE))</f>
        <v/>
      </c>
      <c r="H33" s="10">
        <v>2023.0</v>
      </c>
      <c r="I33" s="10" t="s">
        <v>54</v>
      </c>
      <c r="J33" s="10">
        <v>46.87712725506474</v>
      </c>
      <c r="K33" s="11"/>
      <c r="L33" s="12"/>
      <c r="M33" s="9">
        <v>2.2292935774907083</v>
      </c>
    </row>
    <row r="34">
      <c r="A34" s="10" t="s">
        <v>10</v>
      </c>
      <c r="B34" s="10" t="s">
        <v>11</v>
      </c>
      <c r="C34" s="10" t="s">
        <v>27</v>
      </c>
      <c r="D34" s="10" t="s">
        <v>13</v>
      </c>
      <c r="E34" s="10" t="s">
        <v>14</v>
      </c>
      <c r="F34" s="10">
        <v>110.0</v>
      </c>
      <c r="G34" s="10" t="str">
        <f>IFERROR(VLOOKUP(C34&amp;D34&amp;E34&amp;F34,productID!$A$2:$B$7,2,FALSE))</f>
        <v/>
      </c>
      <c r="H34" s="10">
        <v>2022.0</v>
      </c>
      <c r="I34" s="10" t="s">
        <v>51</v>
      </c>
      <c r="J34" s="10">
        <v>28.60474066662428</v>
      </c>
      <c r="K34" s="11"/>
      <c r="L34" s="12"/>
      <c r="M34" s="9">
        <v>2.506862783026145</v>
      </c>
    </row>
    <row r="35">
      <c r="A35" s="10" t="s">
        <v>10</v>
      </c>
      <c r="B35" s="10" t="s">
        <v>11</v>
      </c>
      <c r="C35" s="10" t="s">
        <v>27</v>
      </c>
      <c r="D35" s="10" t="s">
        <v>13</v>
      </c>
      <c r="E35" s="10" t="s">
        <v>14</v>
      </c>
      <c r="F35" s="10">
        <v>110.0</v>
      </c>
      <c r="G35" s="10" t="str">
        <f>IFERROR(VLOOKUP(C35&amp;D35&amp;E35&amp;F35,productID!$A$2:$B$7,2,FALSE))</f>
        <v/>
      </c>
      <c r="H35" s="10">
        <v>2022.0</v>
      </c>
      <c r="I35" s="10" t="s">
        <v>52</v>
      </c>
      <c r="J35" s="10">
        <v>22.605777888991582</v>
      </c>
      <c r="K35" s="11"/>
      <c r="L35" s="12"/>
      <c r="M35" s="9">
        <v>1.9729413834214677</v>
      </c>
    </row>
    <row r="36">
      <c r="A36" s="10" t="s">
        <v>10</v>
      </c>
      <c r="B36" s="10" t="s">
        <v>11</v>
      </c>
      <c r="C36" s="10" t="s">
        <v>27</v>
      </c>
      <c r="D36" s="10" t="s">
        <v>13</v>
      </c>
      <c r="E36" s="10" t="s">
        <v>14</v>
      </c>
      <c r="F36" s="10">
        <v>110.0</v>
      </c>
      <c r="G36" s="10" t="str">
        <f>IFERROR(VLOOKUP(C36&amp;D36&amp;E36&amp;F36,productID!$A$2:$B$7,2,FALSE))</f>
        <v/>
      </c>
      <c r="H36" s="10">
        <v>2022.0</v>
      </c>
      <c r="I36" s="10" t="s">
        <v>53</v>
      </c>
      <c r="J36" s="10">
        <v>25.037914112659564</v>
      </c>
      <c r="K36" s="11"/>
      <c r="L36" s="12"/>
      <c r="M36" s="9">
        <v>2.1885985982243357</v>
      </c>
    </row>
    <row r="37">
      <c r="A37" s="10" t="s">
        <v>10</v>
      </c>
      <c r="B37" s="10" t="s">
        <v>11</v>
      </c>
      <c r="C37" s="10" t="s">
        <v>27</v>
      </c>
      <c r="D37" s="10" t="s">
        <v>13</v>
      </c>
      <c r="E37" s="10" t="s">
        <v>14</v>
      </c>
      <c r="F37" s="10">
        <v>110.0</v>
      </c>
      <c r="G37" s="10" t="str">
        <f>IFERROR(VLOOKUP(C37&amp;D37&amp;E37&amp;F37,productID!$A$2:$B$7,2,FALSE))</f>
        <v/>
      </c>
      <c r="H37" s="10">
        <v>2022.0</v>
      </c>
      <c r="I37" s="10" t="s">
        <v>54</v>
      </c>
      <c r="J37" s="10">
        <v>24.0719980069739</v>
      </c>
      <c r="K37" s="11"/>
      <c r="L37" s="12"/>
      <c r="M37" s="9">
        <v>2.1799240834286087</v>
      </c>
    </row>
    <row r="38">
      <c r="A38" s="10" t="s">
        <v>10</v>
      </c>
      <c r="B38" s="10" t="s">
        <v>11</v>
      </c>
      <c r="C38" s="10" t="s">
        <v>27</v>
      </c>
      <c r="D38" s="10" t="s">
        <v>13</v>
      </c>
      <c r="E38" s="10" t="s">
        <v>14</v>
      </c>
      <c r="F38" s="10">
        <v>110.0</v>
      </c>
      <c r="G38" s="10" t="str">
        <f>IFERROR(VLOOKUP(C38&amp;D38&amp;E38&amp;F38,productID!$A$2:$B$7,2,FALSE))</f>
        <v/>
      </c>
      <c r="H38" s="10">
        <v>2023.0</v>
      </c>
      <c r="I38" s="10" t="s">
        <v>51</v>
      </c>
      <c r="J38" s="10">
        <v>28.936999265598928</v>
      </c>
      <c r="K38" s="11"/>
      <c r="L38" s="12"/>
      <c r="M38" s="9">
        <v>2.4536363029210624</v>
      </c>
    </row>
    <row r="39">
      <c r="A39" s="10" t="s">
        <v>10</v>
      </c>
      <c r="B39" s="10" t="s">
        <v>11</v>
      </c>
      <c r="C39" s="10" t="s">
        <v>27</v>
      </c>
      <c r="D39" s="10" t="s">
        <v>13</v>
      </c>
      <c r="E39" s="10" t="s">
        <v>14</v>
      </c>
      <c r="F39" s="10">
        <v>110.0</v>
      </c>
      <c r="G39" s="10" t="str">
        <f>IFERROR(VLOOKUP(C39&amp;D39&amp;E39&amp;F39,productID!$A$2:$B$7,2,FALSE))</f>
        <v/>
      </c>
      <c r="H39" s="10">
        <v>2023.0</v>
      </c>
      <c r="I39" s="10" t="s">
        <v>52</v>
      </c>
      <c r="J39" s="10">
        <v>31.102880283095544</v>
      </c>
      <c r="K39" s="11"/>
      <c r="L39" s="12"/>
      <c r="M39" s="9">
        <v>2.45799827257943</v>
      </c>
    </row>
    <row r="40">
      <c r="A40" s="10" t="s">
        <v>10</v>
      </c>
      <c r="B40" s="10" t="s">
        <v>11</v>
      </c>
      <c r="C40" s="10" t="s">
        <v>27</v>
      </c>
      <c r="D40" s="10" t="s">
        <v>13</v>
      </c>
      <c r="E40" s="10" t="s">
        <v>14</v>
      </c>
      <c r="F40" s="10">
        <v>110.0</v>
      </c>
      <c r="G40" s="10" t="str">
        <f>IFERROR(VLOOKUP(C40&amp;D40&amp;E40&amp;F40,productID!$A$2:$B$7,2,FALSE))</f>
        <v/>
      </c>
      <c r="H40" s="10">
        <v>2023.0</v>
      </c>
      <c r="I40" s="10" t="s">
        <v>53</v>
      </c>
      <c r="J40" s="10">
        <v>28.74972569353207</v>
      </c>
      <c r="K40" s="11"/>
      <c r="L40" s="12"/>
      <c r="M40" s="9">
        <v>2.3288446066580994</v>
      </c>
    </row>
    <row r="41">
      <c r="A41" s="10" t="s">
        <v>10</v>
      </c>
      <c r="B41" s="10" t="s">
        <v>11</v>
      </c>
      <c r="C41" s="10" t="s">
        <v>27</v>
      </c>
      <c r="D41" s="10" t="s">
        <v>13</v>
      </c>
      <c r="E41" s="10" t="s">
        <v>14</v>
      </c>
      <c r="F41" s="10">
        <v>110.0</v>
      </c>
      <c r="G41" s="10" t="str">
        <f>IFERROR(VLOOKUP(C41&amp;D41&amp;E41&amp;F41,productID!$A$2:$B$7,2,FALSE))</f>
        <v/>
      </c>
      <c r="H41" s="10">
        <v>2023.0</v>
      </c>
      <c r="I41" s="10" t="s">
        <v>54</v>
      </c>
      <c r="J41" s="10">
        <v>26.81836231208348</v>
      </c>
      <c r="K41" s="11"/>
      <c r="L41" s="12"/>
      <c r="M41" s="9">
        <v>2.3076039489102502</v>
      </c>
    </row>
    <row r="42">
      <c r="A42" s="10" t="s">
        <v>24</v>
      </c>
      <c r="B42" s="10" t="s">
        <v>11</v>
      </c>
      <c r="C42" s="10" t="s">
        <v>27</v>
      </c>
      <c r="D42" s="10" t="s">
        <v>13</v>
      </c>
      <c r="E42" s="10" t="s">
        <v>14</v>
      </c>
      <c r="F42" s="10">
        <v>110.0</v>
      </c>
      <c r="G42" s="10" t="str">
        <f>IFERROR(VLOOKUP(C42&amp;D42&amp;E42&amp;F42,productID!$A$2:$B$7,2,FALSE))</f>
        <v/>
      </c>
      <c r="H42" s="10">
        <v>2022.0</v>
      </c>
      <c r="I42" s="10" t="s">
        <v>51</v>
      </c>
      <c r="J42" s="10">
        <v>28.406170693373284</v>
      </c>
      <c r="K42" s="11"/>
      <c r="L42" s="12"/>
      <c r="M42" s="9">
        <v>3.1725202652491733</v>
      </c>
    </row>
    <row r="43">
      <c r="A43" s="10" t="s">
        <v>24</v>
      </c>
      <c r="B43" s="10" t="s">
        <v>11</v>
      </c>
      <c r="C43" s="10" t="s">
        <v>27</v>
      </c>
      <c r="D43" s="10" t="s">
        <v>13</v>
      </c>
      <c r="E43" s="10" t="s">
        <v>14</v>
      </c>
      <c r="F43" s="10">
        <v>110.0</v>
      </c>
      <c r="G43" s="10" t="str">
        <f>IFERROR(VLOOKUP(C43&amp;D43&amp;E43&amp;F43,productID!$A$2:$B$7,2,FALSE))</f>
        <v/>
      </c>
      <c r="H43" s="10">
        <v>2022.0</v>
      </c>
      <c r="I43" s="10" t="s">
        <v>52</v>
      </c>
      <c r="J43" s="10">
        <v>36.622410000273135</v>
      </c>
      <c r="K43" s="11"/>
      <c r="L43" s="12"/>
      <c r="M43" s="9">
        <v>3.9097560330421866</v>
      </c>
    </row>
    <row r="44">
      <c r="A44" s="10" t="s">
        <v>24</v>
      </c>
      <c r="B44" s="10" t="s">
        <v>11</v>
      </c>
      <c r="C44" s="10" t="s">
        <v>27</v>
      </c>
      <c r="D44" s="10" t="s">
        <v>13</v>
      </c>
      <c r="E44" s="10" t="s">
        <v>14</v>
      </c>
      <c r="F44" s="10">
        <v>110.0</v>
      </c>
      <c r="G44" s="10" t="str">
        <f>IFERROR(VLOOKUP(C44&amp;D44&amp;E44&amp;F44,productID!$A$2:$B$7,2,FALSE))</f>
        <v/>
      </c>
      <c r="H44" s="10">
        <v>2022.0</v>
      </c>
      <c r="I44" s="10" t="s">
        <v>53</v>
      </c>
      <c r="J44" s="10">
        <v>39.82556887104208</v>
      </c>
      <c r="K44" s="11"/>
      <c r="L44" s="12"/>
      <c r="M44" s="9">
        <v>4.138243654175463</v>
      </c>
    </row>
    <row r="45">
      <c r="A45" s="10" t="s">
        <v>24</v>
      </c>
      <c r="B45" s="10" t="s">
        <v>11</v>
      </c>
      <c r="C45" s="10" t="s">
        <v>27</v>
      </c>
      <c r="D45" s="10" t="s">
        <v>13</v>
      </c>
      <c r="E45" s="10" t="s">
        <v>14</v>
      </c>
      <c r="F45" s="10">
        <v>110.0</v>
      </c>
      <c r="G45" s="10" t="str">
        <f>IFERROR(VLOOKUP(C45&amp;D45&amp;E45&amp;F45,productID!$A$2:$B$7,2,FALSE))</f>
        <v/>
      </c>
      <c r="H45" s="10">
        <v>2022.0</v>
      </c>
      <c r="I45" s="10" t="s">
        <v>54</v>
      </c>
      <c r="J45" s="10">
        <v>36.24240959622594</v>
      </c>
      <c r="K45" s="11"/>
      <c r="L45" s="12"/>
      <c r="M45" s="9">
        <v>3.8907376031436423</v>
      </c>
    </row>
    <row r="46">
      <c r="A46" s="10" t="s">
        <v>24</v>
      </c>
      <c r="B46" s="10" t="s">
        <v>11</v>
      </c>
      <c r="C46" s="10" t="s">
        <v>27</v>
      </c>
      <c r="D46" s="10" t="s">
        <v>13</v>
      </c>
      <c r="E46" s="10" t="s">
        <v>14</v>
      </c>
      <c r="F46" s="10">
        <v>110.0</v>
      </c>
      <c r="G46" s="10" t="str">
        <f>IFERROR(VLOOKUP(C46&amp;D46&amp;E46&amp;F46,productID!$A$2:$B$7,2,FALSE))</f>
        <v/>
      </c>
      <c r="H46" s="10">
        <v>2023.0</v>
      </c>
      <c r="I46" s="10" t="s">
        <v>51</v>
      </c>
      <c r="J46" s="10">
        <v>39.703805089102374</v>
      </c>
      <c r="K46" s="11"/>
      <c r="L46" s="12"/>
      <c r="M46" s="9">
        <v>4.151980191628631</v>
      </c>
    </row>
    <row r="47">
      <c r="A47" s="10" t="s">
        <v>24</v>
      </c>
      <c r="B47" s="10" t="s">
        <v>11</v>
      </c>
      <c r="C47" s="10" t="s">
        <v>27</v>
      </c>
      <c r="D47" s="10" t="s">
        <v>13</v>
      </c>
      <c r="E47" s="10" t="s">
        <v>14</v>
      </c>
      <c r="F47" s="10">
        <v>110.0</v>
      </c>
      <c r="G47" s="10" t="str">
        <f>IFERROR(VLOOKUP(C47&amp;D47&amp;E47&amp;F47,productID!$A$2:$B$7,2,FALSE))</f>
        <v/>
      </c>
      <c r="H47" s="10">
        <v>2023.0</v>
      </c>
      <c r="I47" s="10" t="s">
        <v>52</v>
      </c>
      <c r="J47" s="10">
        <v>43.0375316001161</v>
      </c>
      <c r="K47" s="11"/>
      <c r="L47" s="12"/>
      <c r="M47" s="9">
        <v>4.441596089261197</v>
      </c>
    </row>
    <row r="48">
      <c r="A48" s="10" t="s">
        <v>24</v>
      </c>
      <c r="B48" s="10" t="s">
        <v>11</v>
      </c>
      <c r="C48" s="10" t="s">
        <v>27</v>
      </c>
      <c r="D48" s="10" t="s">
        <v>13</v>
      </c>
      <c r="E48" s="10" t="s">
        <v>14</v>
      </c>
      <c r="F48" s="10">
        <v>110.0</v>
      </c>
      <c r="G48" s="10" t="str">
        <f>IFERROR(VLOOKUP(C48&amp;D48&amp;E48&amp;F48,productID!$A$2:$B$7,2,FALSE))</f>
        <v/>
      </c>
      <c r="H48" s="10">
        <v>2023.0</v>
      </c>
      <c r="I48" s="10" t="s">
        <v>53</v>
      </c>
      <c r="J48" s="10">
        <v>40.828352040196634</v>
      </c>
      <c r="K48" s="11"/>
      <c r="L48" s="12"/>
      <c r="M48" s="9">
        <v>4.484887799554911</v>
      </c>
    </row>
    <row r="49">
      <c r="A49" s="10" t="s">
        <v>24</v>
      </c>
      <c r="B49" s="10" t="s">
        <v>11</v>
      </c>
      <c r="C49" s="10" t="s">
        <v>27</v>
      </c>
      <c r="D49" s="10" t="s">
        <v>13</v>
      </c>
      <c r="E49" s="10" t="s">
        <v>14</v>
      </c>
      <c r="F49" s="10">
        <v>110.0</v>
      </c>
      <c r="G49" s="10" t="str">
        <f>IFERROR(VLOOKUP(C49&amp;D49&amp;E49&amp;F49,productID!$A$2:$B$7,2,FALSE))</f>
        <v/>
      </c>
      <c r="H49" s="10">
        <v>2023.0</v>
      </c>
      <c r="I49" s="10" t="s">
        <v>54</v>
      </c>
      <c r="J49" s="10">
        <v>43.3005491891883</v>
      </c>
      <c r="K49" s="11"/>
      <c r="L49" s="12"/>
      <c r="M49" s="9">
        <v>5.4911753708662765</v>
      </c>
    </row>
    <row r="50">
      <c r="A50" s="10" t="s">
        <v>25</v>
      </c>
      <c r="B50" s="10" t="s">
        <v>11</v>
      </c>
      <c r="C50" s="10" t="s">
        <v>27</v>
      </c>
      <c r="D50" s="10" t="s">
        <v>13</v>
      </c>
      <c r="E50" s="10" t="s">
        <v>14</v>
      </c>
      <c r="F50" s="10">
        <v>110.0</v>
      </c>
      <c r="G50" s="10" t="str">
        <f>IFERROR(VLOOKUP(C50&amp;D50&amp;E50&amp;F50,productID!$A$2:$B$7,2,FALSE))</f>
        <v/>
      </c>
      <c r="H50" s="10">
        <v>2022.0</v>
      </c>
      <c r="I50" s="10" t="s">
        <v>51</v>
      </c>
      <c r="J50" s="10">
        <v>62.55604380220769</v>
      </c>
      <c r="K50" s="11"/>
      <c r="L50" s="12"/>
      <c r="M50" s="9">
        <v>6.40127778986306</v>
      </c>
    </row>
    <row r="51">
      <c r="A51" s="10" t="s">
        <v>25</v>
      </c>
      <c r="B51" s="10" t="s">
        <v>11</v>
      </c>
      <c r="C51" s="10" t="s">
        <v>27</v>
      </c>
      <c r="D51" s="10" t="s">
        <v>13</v>
      </c>
      <c r="E51" s="10" t="s">
        <v>14</v>
      </c>
      <c r="F51" s="10">
        <v>110.0</v>
      </c>
      <c r="G51" s="10" t="str">
        <f>IFERROR(VLOOKUP(C51&amp;D51&amp;E51&amp;F51,productID!$A$2:$B$7,2,FALSE))</f>
        <v/>
      </c>
      <c r="H51" s="10">
        <v>2022.0</v>
      </c>
      <c r="I51" s="10" t="s">
        <v>52</v>
      </c>
      <c r="J51" s="10">
        <v>62.6943829680668</v>
      </c>
      <c r="K51" s="11"/>
      <c r="L51" s="12"/>
      <c r="M51" s="9">
        <v>6.358916215167389</v>
      </c>
    </row>
    <row r="52">
      <c r="A52" s="10" t="s">
        <v>25</v>
      </c>
      <c r="B52" s="10" t="s">
        <v>11</v>
      </c>
      <c r="C52" s="10" t="s">
        <v>27</v>
      </c>
      <c r="D52" s="10" t="s">
        <v>13</v>
      </c>
      <c r="E52" s="10" t="s">
        <v>14</v>
      </c>
      <c r="F52" s="10">
        <v>110.0</v>
      </c>
      <c r="G52" s="10" t="str">
        <f>IFERROR(VLOOKUP(C52&amp;D52&amp;E52&amp;F52,productID!$A$2:$B$7,2,FALSE))</f>
        <v/>
      </c>
      <c r="H52" s="10">
        <v>2022.0</v>
      </c>
      <c r="I52" s="10" t="s">
        <v>53</v>
      </c>
      <c r="J52" s="10">
        <v>79.75163255778558</v>
      </c>
      <c r="K52" s="11"/>
      <c r="L52" s="12"/>
      <c r="M52" s="9">
        <v>7.7785288465282445</v>
      </c>
    </row>
    <row r="53">
      <c r="A53" s="10" t="s">
        <v>25</v>
      </c>
      <c r="B53" s="10" t="s">
        <v>11</v>
      </c>
      <c r="C53" s="10" t="s">
        <v>27</v>
      </c>
      <c r="D53" s="10" t="s">
        <v>13</v>
      </c>
      <c r="E53" s="10" t="s">
        <v>14</v>
      </c>
      <c r="F53" s="10">
        <v>110.0</v>
      </c>
      <c r="G53" s="10" t="str">
        <f>IFERROR(VLOOKUP(C53&amp;D53&amp;E53&amp;F53,productID!$A$2:$B$7,2,FALSE))</f>
        <v/>
      </c>
      <c r="H53" s="10">
        <v>2022.0</v>
      </c>
      <c r="I53" s="10" t="s">
        <v>54</v>
      </c>
      <c r="J53" s="10">
        <v>92.54011499540137</v>
      </c>
      <c r="K53" s="11"/>
      <c r="L53" s="12"/>
      <c r="M53" s="9">
        <v>8.90345124582585</v>
      </c>
    </row>
    <row r="54">
      <c r="A54" s="10" t="s">
        <v>25</v>
      </c>
      <c r="B54" s="10" t="s">
        <v>11</v>
      </c>
      <c r="C54" s="10" t="s">
        <v>27</v>
      </c>
      <c r="D54" s="10" t="s">
        <v>13</v>
      </c>
      <c r="E54" s="10" t="s">
        <v>14</v>
      </c>
      <c r="F54" s="10">
        <v>110.0</v>
      </c>
      <c r="G54" s="10" t="str">
        <f>IFERROR(VLOOKUP(C54&amp;D54&amp;E54&amp;F54,productID!$A$2:$B$7,2,FALSE))</f>
        <v/>
      </c>
      <c r="H54" s="10">
        <v>2023.0</v>
      </c>
      <c r="I54" s="10" t="s">
        <v>51</v>
      </c>
      <c r="J54" s="10">
        <v>92.77756042683356</v>
      </c>
      <c r="K54" s="11"/>
      <c r="L54" s="12"/>
      <c r="M54" s="9">
        <v>8.448606547611542</v>
      </c>
    </row>
    <row r="55">
      <c r="A55" s="10" t="s">
        <v>25</v>
      </c>
      <c r="B55" s="10" t="s">
        <v>11</v>
      </c>
      <c r="C55" s="10" t="s">
        <v>27</v>
      </c>
      <c r="D55" s="10" t="s">
        <v>13</v>
      </c>
      <c r="E55" s="10" t="s">
        <v>14</v>
      </c>
      <c r="F55" s="10">
        <v>110.0</v>
      </c>
      <c r="G55" s="10" t="str">
        <f>IFERROR(VLOOKUP(C55&amp;D55&amp;E55&amp;F55,productID!$A$2:$B$7,2,FALSE))</f>
        <v/>
      </c>
      <c r="H55" s="10">
        <v>2023.0</v>
      </c>
      <c r="I55" s="10" t="s">
        <v>52</v>
      </c>
      <c r="J55" s="10">
        <v>106.28161152854243</v>
      </c>
      <c r="K55" s="11"/>
      <c r="L55" s="12"/>
      <c r="M55" s="9">
        <v>9.542587808281604</v>
      </c>
    </row>
    <row r="56">
      <c r="A56" s="10" t="s">
        <v>25</v>
      </c>
      <c r="B56" s="10" t="s">
        <v>11</v>
      </c>
      <c r="C56" s="10" t="s">
        <v>27</v>
      </c>
      <c r="D56" s="10" t="s">
        <v>13</v>
      </c>
      <c r="E56" s="10" t="s">
        <v>14</v>
      </c>
      <c r="F56" s="10">
        <v>110.0</v>
      </c>
      <c r="G56" s="10" t="str">
        <f>IFERROR(VLOOKUP(C56&amp;D56&amp;E56&amp;F56,productID!$A$2:$B$7,2,FALSE))</f>
        <v/>
      </c>
      <c r="H56" s="10">
        <v>2023.0</v>
      </c>
      <c r="I56" s="10" t="s">
        <v>53</v>
      </c>
      <c r="J56" s="10">
        <v>110.31844036388254</v>
      </c>
      <c r="K56" s="11"/>
      <c r="L56" s="12"/>
      <c r="M56" s="9">
        <v>10.514008232656327</v>
      </c>
    </row>
    <row r="57">
      <c r="A57" s="10" t="s">
        <v>25</v>
      </c>
      <c r="B57" s="10" t="s">
        <v>11</v>
      </c>
      <c r="C57" s="10" t="s">
        <v>27</v>
      </c>
      <c r="D57" s="10" t="s">
        <v>13</v>
      </c>
      <c r="E57" s="10" t="s">
        <v>14</v>
      </c>
      <c r="F57" s="10">
        <v>110.0</v>
      </c>
      <c r="G57" s="10" t="str">
        <f>IFERROR(VLOOKUP(C57&amp;D57&amp;E57&amp;F57,productID!$A$2:$B$7,2,FALSE))</f>
        <v/>
      </c>
      <c r="H57" s="10">
        <v>2023.0</v>
      </c>
      <c r="I57" s="10" t="s">
        <v>54</v>
      </c>
      <c r="J57" s="10">
        <v>109.40534676205446</v>
      </c>
      <c r="K57" s="11"/>
      <c r="L57" s="12"/>
      <c r="M57" s="9">
        <v>11.135354105116155</v>
      </c>
    </row>
    <row r="58">
      <c r="A58" s="10" t="s">
        <v>26</v>
      </c>
      <c r="B58" s="10" t="s">
        <v>11</v>
      </c>
      <c r="C58" s="10" t="s">
        <v>27</v>
      </c>
      <c r="D58" s="10" t="s">
        <v>13</v>
      </c>
      <c r="E58" s="10" t="s">
        <v>14</v>
      </c>
      <c r="F58" s="10">
        <v>110.0</v>
      </c>
      <c r="G58" s="10" t="str">
        <f>IFERROR(VLOOKUP(C58&amp;D58&amp;E58&amp;F58,productID!$A$2:$B$7,2,FALSE))</f>
        <v/>
      </c>
      <c r="H58" s="10">
        <v>2022.0</v>
      </c>
      <c r="I58" s="10" t="s">
        <v>51</v>
      </c>
      <c r="J58" s="10">
        <v>73.55488641377482</v>
      </c>
      <c r="K58" s="11"/>
      <c r="L58" s="12"/>
      <c r="M58" s="9">
        <v>3.560757162837849</v>
      </c>
    </row>
    <row r="59">
      <c r="A59" s="10" t="s">
        <v>26</v>
      </c>
      <c r="B59" s="10" t="s">
        <v>11</v>
      </c>
      <c r="C59" s="10" t="s">
        <v>27</v>
      </c>
      <c r="D59" s="10" t="s">
        <v>13</v>
      </c>
      <c r="E59" s="10" t="s">
        <v>14</v>
      </c>
      <c r="F59" s="10">
        <v>110.0</v>
      </c>
      <c r="G59" s="10" t="str">
        <f>IFERROR(VLOOKUP(C59&amp;D59&amp;E59&amp;F59,productID!$A$2:$B$7,2,FALSE))</f>
        <v/>
      </c>
      <c r="H59" s="10">
        <v>2022.0</v>
      </c>
      <c r="I59" s="10" t="s">
        <v>52</v>
      </c>
      <c r="J59" s="10">
        <v>75.45769290434266</v>
      </c>
      <c r="K59" s="11"/>
      <c r="L59" s="12"/>
      <c r="M59" s="9">
        <v>3.5932707571621187</v>
      </c>
    </row>
    <row r="60">
      <c r="A60" s="10" t="s">
        <v>26</v>
      </c>
      <c r="B60" s="10" t="s">
        <v>11</v>
      </c>
      <c r="C60" s="10" t="s">
        <v>27</v>
      </c>
      <c r="D60" s="10" t="s">
        <v>13</v>
      </c>
      <c r="E60" s="10" t="s">
        <v>14</v>
      </c>
      <c r="F60" s="10">
        <v>110.0</v>
      </c>
      <c r="G60" s="10" t="str">
        <f>IFERROR(VLOOKUP(C60&amp;D60&amp;E60&amp;F60,productID!$A$2:$B$7,2,FALSE))</f>
        <v/>
      </c>
      <c r="H60" s="10">
        <v>2022.0</v>
      </c>
      <c r="I60" s="10" t="s">
        <v>53</v>
      </c>
      <c r="J60" s="10">
        <v>78.96151768795059</v>
      </c>
      <c r="K60" s="11"/>
      <c r="L60" s="12"/>
      <c r="M60" s="9">
        <v>3.7699700307071495</v>
      </c>
    </row>
    <row r="61">
      <c r="A61" s="10" t="s">
        <v>26</v>
      </c>
      <c r="B61" s="10" t="s">
        <v>11</v>
      </c>
      <c r="C61" s="10" t="s">
        <v>27</v>
      </c>
      <c r="D61" s="10" t="s">
        <v>13</v>
      </c>
      <c r="E61" s="10" t="s">
        <v>14</v>
      </c>
      <c r="F61" s="10">
        <v>110.0</v>
      </c>
      <c r="G61" s="10" t="str">
        <f>IFERROR(VLOOKUP(C61&amp;D61&amp;E61&amp;F61,productID!$A$2:$B$7,2,FALSE))</f>
        <v/>
      </c>
      <c r="H61" s="10">
        <v>2022.0</v>
      </c>
      <c r="I61" s="10" t="s">
        <v>54</v>
      </c>
      <c r="J61" s="10">
        <v>88.50466888316498</v>
      </c>
      <c r="K61" s="11"/>
      <c r="L61" s="12"/>
      <c r="M61" s="9">
        <v>4.14575810168407</v>
      </c>
    </row>
    <row r="62">
      <c r="A62" s="10" t="s">
        <v>26</v>
      </c>
      <c r="B62" s="10" t="s">
        <v>11</v>
      </c>
      <c r="C62" s="10" t="s">
        <v>27</v>
      </c>
      <c r="D62" s="10" t="s">
        <v>13</v>
      </c>
      <c r="E62" s="10" t="s">
        <v>14</v>
      </c>
      <c r="F62" s="10">
        <v>110.0</v>
      </c>
      <c r="G62" s="10" t="str">
        <f>IFERROR(VLOOKUP(C62&amp;D62&amp;E62&amp;F62,productID!$A$2:$B$7,2,FALSE))</f>
        <v/>
      </c>
      <c r="H62" s="10">
        <v>2023.0</v>
      </c>
      <c r="I62" s="10" t="s">
        <v>51</v>
      </c>
      <c r="J62" s="10">
        <v>92.15100067602502</v>
      </c>
      <c r="K62" s="11"/>
      <c r="L62" s="12"/>
      <c r="M62" s="9">
        <v>4.273901685594825</v>
      </c>
    </row>
    <row r="63">
      <c r="A63" s="10" t="s">
        <v>26</v>
      </c>
      <c r="B63" s="10" t="s">
        <v>11</v>
      </c>
      <c r="C63" s="10" t="s">
        <v>27</v>
      </c>
      <c r="D63" s="10" t="s">
        <v>13</v>
      </c>
      <c r="E63" s="10" t="s">
        <v>14</v>
      </c>
      <c r="F63" s="10">
        <v>110.0</v>
      </c>
      <c r="G63" s="10" t="str">
        <f>IFERROR(VLOOKUP(C63&amp;D63&amp;E63&amp;F63,productID!$A$2:$B$7,2,FALSE))</f>
        <v/>
      </c>
      <c r="H63" s="10">
        <v>2023.0</v>
      </c>
      <c r="I63" s="10" t="s">
        <v>52</v>
      </c>
      <c r="J63" s="10">
        <v>100.72345401047306</v>
      </c>
      <c r="K63" s="11"/>
      <c r="L63" s="12"/>
      <c r="M63" s="9">
        <v>4.520238133169645</v>
      </c>
    </row>
    <row r="64">
      <c r="A64" s="10" t="s">
        <v>26</v>
      </c>
      <c r="B64" s="10" t="s">
        <v>11</v>
      </c>
      <c r="C64" s="10" t="s">
        <v>27</v>
      </c>
      <c r="D64" s="10" t="s">
        <v>13</v>
      </c>
      <c r="E64" s="10" t="s">
        <v>14</v>
      </c>
      <c r="F64" s="10">
        <v>110.0</v>
      </c>
      <c r="G64" s="10" t="str">
        <f>IFERROR(VLOOKUP(C64&amp;D64&amp;E64&amp;F64,productID!$A$2:$B$7,2,FALSE))</f>
        <v/>
      </c>
      <c r="H64" s="10">
        <v>2023.0</v>
      </c>
      <c r="I64" s="10" t="s">
        <v>53</v>
      </c>
      <c r="J64" s="10">
        <v>104.78969604366415</v>
      </c>
      <c r="K64" s="11"/>
      <c r="L64" s="12"/>
      <c r="M64" s="9">
        <v>4.8084548912795055</v>
      </c>
    </row>
    <row r="65">
      <c r="A65" s="10" t="s">
        <v>26</v>
      </c>
      <c r="B65" s="10" t="s">
        <v>11</v>
      </c>
      <c r="C65" s="10" t="s">
        <v>27</v>
      </c>
      <c r="D65" s="10" t="s">
        <v>13</v>
      </c>
      <c r="E65" s="10" t="s">
        <v>14</v>
      </c>
      <c r="F65" s="10">
        <v>110.0</v>
      </c>
      <c r="G65" s="10" t="str">
        <f>IFERROR(VLOOKUP(C65&amp;D65&amp;E65&amp;F65,productID!$A$2:$B$7,2,FALSE))</f>
        <v/>
      </c>
      <c r="H65" s="10">
        <v>2023.0</v>
      </c>
      <c r="I65" s="10" t="s">
        <v>54</v>
      </c>
      <c r="J65" s="10">
        <v>101.2976459336031</v>
      </c>
      <c r="K65" s="11"/>
      <c r="L65" s="12"/>
      <c r="M65" s="9">
        <v>4.817321468228637</v>
      </c>
    </row>
    <row r="66">
      <c r="A66" s="10" t="s">
        <v>10</v>
      </c>
      <c r="B66" s="10" t="s">
        <v>11</v>
      </c>
      <c r="C66" s="10" t="s">
        <v>12</v>
      </c>
      <c r="D66" s="10" t="s">
        <v>13</v>
      </c>
      <c r="E66" s="10" t="s">
        <v>14</v>
      </c>
      <c r="F66" s="10">
        <v>180.0</v>
      </c>
      <c r="G66" s="10" t="str">
        <f>IFERROR(VLOOKUP(C66&amp;D66&amp;E66&amp;F66,productID!$A$2:$B$7,2,FALSE))</f>
        <v/>
      </c>
      <c r="H66" s="10">
        <v>2022.0</v>
      </c>
      <c r="I66" s="10" t="s">
        <v>51</v>
      </c>
      <c r="J66" s="10">
        <v>30.518792121243052</v>
      </c>
      <c r="K66" s="11"/>
      <c r="L66" s="12"/>
      <c r="M66" s="9">
        <v>2.674606459233615</v>
      </c>
    </row>
    <row r="67">
      <c r="A67" s="10" t="s">
        <v>10</v>
      </c>
      <c r="B67" s="10" t="s">
        <v>11</v>
      </c>
      <c r="C67" s="10" t="s">
        <v>12</v>
      </c>
      <c r="D67" s="10" t="s">
        <v>13</v>
      </c>
      <c r="E67" s="10" t="s">
        <v>14</v>
      </c>
      <c r="F67" s="10">
        <v>180.0</v>
      </c>
      <c r="G67" s="10" t="str">
        <f>IFERROR(VLOOKUP(C67&amp;D67&amp;E67&amp;F67,productID!$A$2:$B$7,2,FALSE))</f>
        <v/>
      </c>
      <c r="H67" s="10">
        <v>2022.0</v>
      </c>
      <c r="I67" s="10" t="s">
        <v>52</v>
      </c>
      <c r="J67" s="10">
        <v>28.952910970075266</v>
      </c>
      <c r="K67" s="11"/>
      <c r="L67" s="12"/>
      <c r="M67" s="9">
        <v>2.5268936332952285</v>
      </c>
    </row>
    <row r="68">
      <c r="A68" s="10" t="s">
        <v>10</v>
      </c>
      <c r="B68" s="10" t="s">
        <v>11</v>
      </c>
      <c r="C68" s="10" t="s">
        <v>12</v>
      </c>
      <c r="D68" s="10" t="s">
        <v>13</v>
      </c>
      <c r="E68" s="10" t="s">
        <v>14</v>
      </c>
      <c r="F68" s="10">
        <v>180.0</v>
      </c>
      <c r="G68" s="10" t="str">
        <f>IFERROR(VLOOKUP(C68&amp;D68&amp;E68&amp;F68,productID!$A$2:$B$7,2,FALSE))</f>
        <v/>
      </c>
      <c r="H68" s="10">
        <v>2022.0</v>
      </c>
      <c r="I68" s="10" t="s">
        <v>53</v>
      </c>
      <c r="J68" s="10">
        <v>28.754446789377624</v>
      </c>
      <c r="K68" s="11"/>
      <c r="L68" s="12"/>
      <c r="M68" s="9">
        <v>2.513465844350378</v>
      </c>
    </row>
    <row r="69">
      <c r="A69" s="10" t="s">
        <v>10</v>
      </c>
      <c r="B69" s="10" t="s">
        <v>11</v>
      </c>
      <c r="C69" s="10" t="s">
        <v>12</v>
      </c>
      <c r="D69" s="10" t="s">
        <v>13</v>
      </c>
      <c r="E69" s="10" t="s">
        <v>14</v>
      </c>
      <c r="F69" s="10">
        <v>180.0</v>
      </c>
      <c r="G69" s="10" t="str">
        <f>IFERROR(VLOOKUP(C69&amp;D69&amp;E69&amp;F69,productID!$A$2:$B$7,2,FALSE))</f>
        <v/>
      </c>
      <c r="H69" s="10">
        <v>2022.0</v>
      </c>
      <c r="I69" s="10" t="s">
        <v>54</v>
      </c>
      <c r="J69" s="10">
        <v>22.700962338155506</v>
      </c>
      <c r="K69" s="11"/>
      <c r="L69" s="12"/>
      <c r="M69" s="9">
        <v>2.0557651468571203</v>
      </c>
    </row>
    <row r="70">
      <c r="A70" s="10" t="s">
        <v>10</v>
      </c>
      <c r="B70" s="10" t="s">
        <v>11</v>
      </c>
      <c r="C70" s="10" t="s">
        <v>12</v>
      </c>
      <c r="D70" s="10" t="s">
        <v>13</v>
      </c>
      <c r="E70" s="10" t="s">
        <v>14</v>
      </c>
      <c r="F70" s="10">
        <v>180.0</v>
      </c>
      <c r="G70" s="10" t="str">
        <f>IFERROR(VLOOKUP(C70&amp;D70&amp;E70&amp;F70,productID!$A$2:$B$7,2,FALSE))</f>
        <v/>
      </c>
      <c r="H70" s="10">
        <v>2023.0</v>
      </c>
      <c r="I70" s="10" t="s">
        <v>51</v>
      </c>
      <c r="J70" s="10">
        <v>23.10016780376094</v>
      </c>
      <c r="K70" s="11"/>
      <c r="L70" s="12"/>
      <c r="M70" s="9">
        <v>1.9587176198417415</v>
      </c>
    </row>
    <row r="71">
      <c r="A71" s="10" t="s">
        <v>10</v>
      </c>
      <c r="B71" s="10" t="s">
        <v>11</v>
      </c>
      <c r="C71" s="10" t="s">
        <v>12</v>
      </c>
      <c r="D71" s="10" t="s">
        <v>13</v>
      </c>
      <c r="E71" s="10" t="s">
        <v>14</v>
      </c>
      <c r="F71" s="10">
        <v>180.0</v>
      </c>
      <c r="G71" s="10" t="str">
        <f>IFERROR(VLOOKUP(C71&amp;D71&amp;E71&amp;F71,productID!$A$2:$B$7,2,FALSE))</f>
        <v/>
      </c>
      <c r="H71" s="10">
        <v>2023.0</v>
      </c>
      <c r="I71" s="10" t="s">
        <v>52</v>
      </c>
      <c r="J71" s="10">
        <v>21.86824661471306</v>
      </c>
      <c r="K71" s="11"/>
      <c r="L71" s="12"/>
      <c r="M71" s="9">
        <v>1.7282036876989815</v>
      </c>
    </row>
    <row r="72">
      <c r="A72" s="10" t="s">
        <v>10</v>
      </c>
      <c r="B72" s="10" t="s">
        <v>11</v>
      </c>
      <c r="C72" s="10" t="s">
        <v>12</v>
      </c>
      <c r="D72" s="10" t="s">
        <v>13</v>
      </c>
      <c r="E72" s="10" t="s">
        <v>14</v>
      </c>
      <c r="F72" s="10">
        <v>180.0</v>
      </c>
      <c r="G72" s="10" t="str">
        <f>IFERROR(VLOOKUP(C72&amp;D72&amp;E72&amp;F72,productID!$A$2:$B$7,2,FALSE))</f>
        <v/>
      </c>
      <c r="H72" s="10">
        <v>2023.0</v>
      </c>
      <c r="I72" s="10" t="s">
        <v>53</v>
      </c>
      <c r="J72" s="10">
        <v>23.21088044999351</v>
      </c>
      <c r="K72" s="11"/>
      <c r="L72" s="12"/>
      <c r="M72" s="9">
        <v>1.8801756346466345</v>
      </c>
    </row>
    <row r="73">
      <c r="A73" s="10" t="s">
        <v>10</v>
      </c>
      <c r="B73" s="10" t="s">
        <v>11</v>
      </c>
      <c r="C73" s="10" t="s">
        <v>12</v>
      </c>
      <c r="D73" s="10" t="s">
        <v>13</v>
      </c>
      <c r="E73" s="10" t="s">
        <v>14</v>
      </c>
      <c r="F73" s="10">
        <v>180.0</v>
      </c>
      <c r="G73" s="10" t="str">
        <f>IFERROR(VLOOKUP(C73&amp;D73&amp;E73&amp;F73,productID!$A$2:$B$7,2,FALSE))</f>
        <v/>
      </c>
      <c r="H73" s="10">
        <v>2023.0</v>
      </c>
      <c r="I73" s="10" t="s">
        <v>54</v>
      </c>
      <c r="J73" s="10">
        <v>19.98428633922603</v>
      </c>
      <c r="K73" s="11"/>
      <c r="L73" s="12"/>
      <c r="M73" s="9">
        <v>1.7195613041506592</v>
      </c>
    </row>
    <row r="74">
      <c r="A74" s="10" t="s">
        <v>24</v>
      </c>
      <c r="B74" s="10" t="s">
        <v>11</v>
      </c>
      <c r="C74" s="10" t="s">
        <v>12</v>
      </c>
      <c r="D74" s="10" t="s">
        <v>13</v>
      </c>
      <c r="E74" s="10" t="s">
        <v>14</v>
      </c>
      <c r="F74" s="10">
        <v>180.0</v>
      </c>
      <c r="G74" s="10" t="str">
        <f>IFERROR(VLOOKUP(C74&amp;D74&amp;E74&amp;F74,productID!$A$2:$B$7,2,FALSE))</f>
        <v/>
      </c>
      <c r="H74" s="10">
        <v>2022.0</v>
      </c>
      <c r="I74" s="10" t="s">
        <v>51</v>
      </c>
      <c r="J74" s="10">
        <v>67.38401937089802</v>
      </c>
      <c r="K74" s="11"/>
      <c r="L74" s="12"/>
      <c r="M74" s="9">
        <v>7.525729860448516</v>
      </c>
    </row>
    <row r="75">
      <c r="A75" s="10" t="s">
        <v>24</v>
      </c>
      <c r="B75" s="10" t="s">
        <v>11</v>
      </c>
      <c r="C75" s="10" t="s">
        <v>12</v>
      </c>
      <c r="D75" s="10" t="s">
        <v>13</v>
      </c>
      <c r="E75" s="10" t="s">
        <v>14</v>
      </c>
      <c r="F75" s="10">
        <v>180.0</v>
      </c>
      <c r="G75" s="10" t="str">
        <f>IFERROR(VLOOKUP(C75&amp;D75&amp;E75&amp;F75,productID!$A$2:$B$7,2,FALSE))</f>
        <v/>
      </c>
      <c r="H75" s="10">
        <v>2022.0</v>
      </c>
      <c r="I75" s="10" t="s">
        <v>52</v>
      </c>
      <c r="J75" s="10">
        <v>75.85972581685333</v>
      </c>
      <c r="K75" s="11"/>
      <c r="L75" s="12"/>
      <c r="M75" s="9">
        <v>8.098675665396035</v>
      </c>
    </row>
    <row r="76">
      <c r="A76" s="10" t="s">
        <v>24</v>
      </c>
      <c r="B76" s="10" t="s">
        <v>11</v>
      </c>
      <c r="C76" s="10" t="s">
        <v>12</v>
      </c>
      <c r="D76" s="10" t="s">
        <v>13</v>
      </c>
      <c r="E76" s="10" t="s">
        <v>14</v>
      </c>
      <c r="F76" s="10">
        <v>180.0</v>
      </c>
      <c r="G76" s="10" t="str">
        <f>IFERROR(VLOOKUP(C76&amp;D76&amp;E76&amp;F76,productID!$A$2:$B$7,2,FALSE))</f>
        <v/>
      </c>
      <c r="H76" s="10">
        <v>2022.0</v>
      </c>
      <c r="I76" s="10" t="s">
        <v>53</v>
      </c>
      <c r="J76" s="10">
        <v>78.259464011962</v>
      </c>
      <c r="K76" s="11"/>
      <c r="L76" s="12"/>
      <c r="M76" s="9">
        <v>8.131879581565931</v>
      </c>
    </row>
    <row r="77">
      <c r="A77" s="10" t="s">
        <v>24</v>
      </c>
      <c r="B77" s="10" t="s">
        <v>11</v>
      </c>
      <c r="C77" s="10" t="s">
        <v>12</v>
      </c>
      <c r="D77" s="10" t="s">
        <v>13</v>
      </c>
      <c r="E77" s="10" t="s">
        <v>14</v>
      </c>
      <c r="F77" s="10">
        <v>180.0</v>
      </c>
      <c r="G77" s="10" t="str">
        <f>IFERROR(VLOOKUP(C77&amp;D77&amp;E77&amp;F77,productID!$A$2:$B$7,2,FALSE))</f>
        <v/>
      </c>
      <c r="H77" s="10">
        <v>2022.0</v>
      </c>
      <c r="I77" s="10" t="s">
        <v>54</v>
      </c>
      <c r="J77" s="10">
        <v>61.7294338222989</v>
      </c>
      <c r="K77" s="11"/>
      <c r="L77" s="12"/>
      <c r="M77" s="9">
        <v>6.626850479008864</v>
      </c>
    </row>
    <row r="78">
      <c r="A78" s="10" t="s">
        <v>24</v>
      </c>
      <c r="B78" s="10" t="s">
        <v>11</v>
      </c>
      <c r="C78" s="10" t="s">
        <v>12</v>
      </c>
      <c r="D78" s="10" t="s">
        <v>13</v>
      </c>
      <c r="E78" s="10" t="s">
        <v>14</v>
      </c>
      <c r="F78" s="10">
        <v>180.0</v>
      </c>
      <c r="G78" s="10" t="str">
        <f>IFERROR(VLOOKUP(C78&amp;D78&amp;E78&amp;F78,productID!$A$2:$B$7,2,FALSE))</f>
        <v/>
      </c>
      <c r="H78" s="10">
        <v>2023.0</v>
      </c>
      <c r="I78" s="10" t="s">
        <v>51</v>
      </c>
      <c r="J78" s="10">
        <v>61.60520304187847</v>
      </c>
      <c r="K78" s="11"/>
      <c r="L78" s="12"/>
      <c r="M78" s="9">
        <v>6.442293935231539</v>
      </c>
    </row>
    <row r="79">
      <c r="A79" s="10" t="s">
        <v>24</v>
      </c>
      <c r="B79" s="10" t="s">
        <v>11</v>
      </c>
      <c r="C79" s="10" t="s">
        <v>12</v>
      </c>
      <c r="D79" s="10" t="s">
        <v>13</v>
      </c>
      <c r="E79" s="10" t="s">
        <v>14</v>
      </c>
      <c r="F79" s="10">
        <v>180.0</v>
      </c>
      <c r="G79" s="10" t="str">
        <f>IFERROR(VLOOKUP(C79&amp;D79&amp;E79&amp;F79,productID!$A$2:$B$7,2,FALSE))</f>
        <v/>
      </c>
      <c r="H79" s="10">
        <v>2023.0</v>
      </c>
      <c r="I79" s="10" t="s">
        <v>52</v>
      </c>
      <c r="J79" s="10">
        <v>56.013243979951746</v>
      </c>
      <c r="K79" s="11"/>
      <c r="L79" s="12"/>
      <c r="M79" s="9">
        <v>5.7807266392461</v>
      </c>
    </row>
    <row r="80">
      <c r="A80" s="10" t="s">
        <v>24</v>
      </c>
      <c r="B80" s="10" t="s">
        <v>11</v>
      </c>
      <c r="C80" s="10" t="s">
        <v>12</v>
      </c>
      <c r="D80" s="10" t="s">
        <v>13</v>
      </c>
      <c r="E80" s="10" t="s">
        <v>14</v>
      </c>
      <c r="F80" s="10">
        <v>180.0</v>
      </c>
      <c r="G80" s="10" t="str">
        <f>IFERROR(VLOOKUP(C80&amp;D80&amp;E80&amp;F80,productID!$A$2:$B$7,2,FALSE))</f>
        <v/>
      </c>
      <c r="H80" s="10">
        <v>2023.0</v>
      </c>
      <c r="I80" s="10" t="s">
        <v>53</v>
      </c>
      <c r="J80" s="10">
        <v>51.89182919279098</v>
      </c>
      <c r="K80" s="11"/>
      <c r="L80" s="12"/>
      <c r="M80" s="9">
        <v>5.700181859267979</v>
      </c>
    </row>
    <row r="81">
      <c r="A81" s="10" t="s">
        <v>24</v>
      </c>
      <c r="B81" s="10" t="s">
        <v>11</v>
      </c>
      <c r="C81" s="10" t="s">
        <v>12</v>
      </c>
      <c r="D81" s="10" t="s">
        <v>13</v>
      </c>
      <c r="E81" s="10" t="s">
        <v>14</v>
      </c>
      <c r="F81" s="10">
        <v>180.0</v>
      </c>
      <c r="G81" s="10" t="str">
        <f>IFERROR(VLOOKUP(C81&amp;D81&amp;E81&amp;F81,productID!$A$2:$B$7,2,FALSE))</f>
        <v/>
      </c>
      <c r="H81" s="10">
        <v>2023.0</v>
      </c>
      <c r="I81" s="10" t="s">
        <v>54</v>
      </c>
      <c r="J81" s="10">
        <v>47.90703727391379</v>
      </c>
      <c r="K81" s="11"/>
      <c r="L81" s="12"/>
      <c r="M81" s="9">
        <v>6.075348883458802</v>
      </c>
    </row>
    <row r="82">
      <c r="A82" s="10" t="s">
        <v>25</v>
      </c>
      <c r="B82" s="10" t="s">
        <v>11</v>
      </c>
      <c r="C82" s="10" t="s">
        <v>12</v>
      </c>
      <c r="D82" s="10" t="s">
        <v>13</v>
      </c>
      <c r="E82" s="10" t="s">
        <v>14</v>
      </c>
      <c r="F82" s="10">
        <v>180.0</v>
      </c>
      <c r="G82" s="10" t="str">
        <f>IFERROR(VLOOKUP(C82&amp;D82&amp;E82&amp;F82,productID!$A$2:$B$7,2,FALSE))</f>
        <v/>
      </c>
      <c r="H82" s="10">
        <v>2022.0</v>
      </c>
      <c r="I82" s="10" t="s">
        <v>51</v>
      </c>
      <c r="J82" s="10">
        <v>60.56686267391816</v>
      </c>
      <c r="K82" s="11"/>
      <c r="L82" s="12"/>
      <c r="M82" s="9">
        <v>6.197727497955292</v>
      </c>
    </row>
    <row r="83">
      <c r="A83" s="10" t="s">
        <v>25</v>
      </c>
      <c r="B83" s="10" t="s">
        <v>11</v>
      </c>
      <c r="C83" s="10" t="s">
        <v>12</v>
      </c>
      <c r="D83" s="10" t="s">
        <v>13</v>
      </c>
      <c r="E83" s="10" t="s">
        <v>14</v>
      </c>
      <c r="F83" s="10">
        <v>180.0</v>
      </c>
      <c r="G83" s="10" t="str">
        <f>IFERROR(VLOOKUP(C83&amp;D83&amp;E83&amp;F83,productID!$A$2:$B$7,2,FALSE))</f>
        <v/>
      </c>
      <c r="H83" s="10">
        <v>2022.0</v>
      </c>
      <c r="I83" s="10" t="s">
        <v>52</v>
      </c>
      <c r="J83" s="10">
        <v>53.44294612139609</v>
      </c>
      <c r="K83" s="11"/>
      <c r="L83" s="12"/>
      <c r="M83" s="9">
        <v>5.420568806790217</v>
      </c>
    </row>
    <row r="84">
      <c r="A84" s="10" t="s">
        <v>25</v>
      </c>
      <c r="B84" s="10" t="s">
        <v>11</v>
      </c>
      <c r="C84" s="10" t="s">
        <v>12</v>
      </c>
      <c r="D84" s="10" t="s">
        <v>13</v>
      </c>
      <c r="E84" s="10" t="s">
        <v>14</v>
      </c>
      <c r="F84" s="10">
        <v>180.0</v>
      </c>
      <c r="G84" s="10" t="str">
        <f>IFERROR(VLOOKUP(C84&amp;D84&amp;E84&amp;F84,productID!$A$2:$B$7,2,FALSE))</f>
        <v/>
      </c>
      <c r="H84" s="10">
        <v>2022.0</v>
      </c>
      <c r="I84" s="10" t="s">
        <v>53</v>
      </c>
      <c r="J84" s="10">
        <v>52.54886473368891</v>
      </c>
      <c r="K84" s="11"/>
      <c r="L84" s="12"/>
      <c r="M84" s="9">
        <v>5.125322793701309</v>
      </c>
    </row>
    <row r="85">
      <c r="A85" s="10" t="s">
        <v>25</v>
      </c>
      <c r="B85" s="10" t="s">
        <v>11</v>
      </c>
      <c r="C85" s="10" t="s">
        <v>12</v>
      </c>
      <c r="D85" s="10" t="s">
        <v>13</v>
      </c>
      <c r="E85" s="10" t="s">
        <v>14</v>
      </c>
      <c r="F85" s="10">
        <v>180.0</v>
      </c>
      <c r="G85" s="10" t="str">
        <f>IFERROR(VLOOKUP(C85&amp;D85&amp;E85&amp;F85,productID!$A$2:$B$7,2,FALSE))</f>
        <v/>
      </c>
      <c r="H85" s="10">
        <v>2022.0</v>
      </c>
      <c r="I85" s="10" t="s">
        <v>54</v>
      </c>
      <c r="J85" s="10">
        <v>52.30891375580454</v>
      </c>
      <c r="K85" s="11"/>
      <c r="L85" s="12"/>
      <c r="M85" s="9">
        <v>5.032734867144466</v>
      </c>
    </row>
    <row r="86">
      <c r="A86" s="10" t="s">
        <v>25</v>
      </c>
      <c r="B86" s="10" t="s">
        <v>11</v>
      </c>
      <c r="C86" s="10" t="s">
        <v>12</v>
      </c>
      <c r="D86" s="10" t="s">
        <v>13</v>
      </c>
      <c r="E86" s="10" t="s">
        <v>14</v>
      </c>
      <c r="F86" s="10">
        <v>180.0</v>
      </c>
      <c r="G86" s="10" t="str">
        <f>IFERROR(VLOOKUP(C86&amp;D86&amp;E86&amp;F86,productID!$A$2:$B$7,2,FALSE))</f>
        <v/>
      </c>
      <c r="H86" s="10">
        <v>2023.0</v>
      </c>
      <c r="I86" s="10" t="s">
        <v>51</v>
      </c>
      <c r="J86" s="10">
        <v>48.28658098653838</v>
      </c>
      <c r="K86" s="11"/>
      <c r="L86" s="12"/>
      <c r="M86" s="9">
        <v>4.397122778480093</v>
      </c>
    </row>
    <row r="87">
      <c r="A87" s="10" t="s">
        <v>25</v>
      </c>
      <c r="B87" s="10" t="s">
        <v>11</v>
      </c>
      <c r="C87" s="10" t="s">
        <v>12</v>
      </c>
      <c r="D87" s="10" t="s">
        <v>13</v>
      </c>
      <c r="E87" s="10" t="s">
        <v>14</v>
      </c>
      <c r="F87" s="10">
        <v>180.0</v>
      </c>
      <c r="G87" s="10" t="str">
        <f>IFERROR(VLOOKUP(C87&amp;D87&amp;E87&amp;F87,productID!$A$2:$B$7,2,FALSE))</f>
        <v/>
      </c>
      <c r="H87" s="10">
        <v>2023.0</v>
      </c>
      <c r="I87" s="10" t="s">
        <v>52</v>
      </c>
      <c r="J87" s="10">
        <v>45.38616388897841</v>
      </c>
      <c r="K87" s="11"/>
      <c r="L87" s="12"/>
      <c r="M87" s="9">
        <v>4.075036574650778</v>
      </c>
    </row>
    <row r="88">
      <c r="A88" s="10" t="s">
        <v>25</v>
      </c>
      <c r="B88" s="10" t="s">
        <v>11</v>
      </c>
      <c r="C88" s="10" t="s">
        <v>12</v>
      </c>
      <c r="D88" s="10" t="s">
        <v>13</v>
      </c>
      <c r="E88" s="10" t="s">
        <v>14</v>
      </c>
      <c r="F88" s="10">
        <v>180.0</v>
      </c>
      <c r="G88" s="10" t="str">
        <f>IFERROR(VLOOKUP(C88&amp;D88&amp;E88&amp;F88,productID!$A$2:$B$7,2,FALSE))</f>
        <v/>
      </c>
      <c r="H88" s="10">
        <v>2023.0</v>
      </c>
      <c r="I88" s="10" t="s">
        <v>53</v>
      </c>
      <c r="J88" s="10">
        <v>42.23087476125736</v>
      </c>
      <c r="K88" s="11"/>
      <c r="L88" s="12"/>
      <c r="M88" s="9">
        <v>4.024855350089827</v>
      </c>
    </row>
    <row r="89">
      <c r="A89" s="10" t="s">
        <v>25</v>
      </c>
      <c r="B89" s="10" t="s">
        <v>11</v>
      </c>
      <c r="C89" s="10" t="s">
        <v>12</v>
      </c>
      <c r="D89" s="10" t="s">
        <v>13</v>
      </c>
      <c r="E89" s="10" t="s">
        <v>14</v>
      </c>
      <c r="F89" s="10">
        <v>180.0</v>
      </c>
      <c r="G89" s="10" t="str">
        <f>IFERROR(VLOOKUP(C89&amp;D89&amp;E89&amp;F89,productID!$A$2:$B$7,2,FALSE))</f>
        <v/>
      </c>
      <c r="H89" s="10">
        <v>2023.0</v>
      </c>
      <c r="I89" s="10" t="s">
        <v>54</v>
      </c>
      <c r="J89" s="10">
        <v>33.91264193637678</v>
      </c>
      <c r="K89" s="11"/>
      <c r="L89" s="12"/>
      <c r="M89" s="9">
        <v>3.451652846755953</v>
      </c>
    </row>
    <row r="90">
      <c r="A90" s="10" t="s">
        <v>26</v>
      </c>
      <c r="B90" s="10" t="s">
        <v>11</v>
      </c>
      <c r="C90" s="10" t="s">
        <v>12</v>
      </c>
      <c r="D90" s="10" t="s">
        <v>13</v>
      </c>
      <c r="E90" s="10" t="s">
        <v>14</v>
      </c>
      <c r="F90" s="10">
        <v>180.0</v>
      </c>
      <c r="G90" s="10" t="str">
        <f>IFERROR(VLOOKUP(C90&amp;D90&amp;E90&amp;F90,productID!$A$2:$B$7,2,FALSE))</f>
        <v/>
      </c>
      <c r="H90" s="10">
        <v>2022.0</v>
      </c>
      <c r="I90" s="10" t="s">
        <v>51</v>
      </c>
      <c r="J90" s="10">
        <v>96.46343430320775</v>
      </c>
      <c r="K90" s="11"/>
      <c r="L90" s="12"/>
      <c r="M90" s="9">
        <v>4.6697491002142355</v>
      </c>
    </row>
    <row r="91">
      <c r="A91" s="10" t="s">
        <v>26</v>
      </c>
      <c r="B91" s="10" t="s">
        <v>11</v>
      </c>
      <c r="C91" s="10" t="s">
        <v>12</v>
      </c>
      <c r="D91" s="10" t="s">
        <v>13</v>
      </c>
      <c r="E91" s="10" t="s">
        <v>14</v>
      </c>
      <c r="F91" s="10">
        <v>180.0</v>
      </c>
      <c r="G91" s="10" t="str">
        <f>IFERROR(VLOOKUP(C91&amp;D91&amp;E91&amp;F91,productID!$A$2:$B$7,2,FALSE))</f>
        <v/>
      </c>
      <c r="H91" s="10">
        <v>2022.0</v>
      </c>
      <c r="I91" s="10" t="s">
        <v>52</v>
      </c>
      <c r="J91" s="10">
        <v>95.28086995841352</v>
      </c>
      <c r="K91" s="11"/>
      <c r="L91" s="12"/>
      <c r="M91" s="9">
        <v>4.537243991445042</v>
      </c>
    </row>
    <row r="92">
      <c r="A92" s="10" t="s">
        <v>26</v>
      </c>
      <c r="B92" s="10" t="s">
        <v>11</v>
      </c>
      <c r="C92" s="10" t="s">
        <v>12</v>
      </c>
      <c r="D92" s="10" t="s">
        <v>13</v>
      </c>
      <c r="E92" s="10" t="s">
        <v>14</v>
      </c>
      <c r="F92" s="10">
        <v>180.0</v>
      </c>
      <c r="G92" s="10" t="str">
        <f>IFERROR(VLOOKUP(C92&amp;D92&amp;E92&amp;F92,productID!$A$2:$B$7,2,FALSE))</f>
        <v/>
      </c>
      <c r="H92" s="10">
        <v>2022.0</v>
      </c>
      <c r="I92" s="10" t="s">
        <v>53</v>
      </c>
      <c r="J92" s="10">
        <v>99.20843765894794</v>
      </c>
      <c r="K92" s="11"/>
      <c r="L92" s="12"/>
      <c r="M92" s="9">
        <v>4.736647011340135</v>
      </c>
    </row>
    <row r="93">
      <c r="A93" s="10" t="s">
        <v>26</v>
      </c>
      <c r="B93" s="10" t="s">
        <v>11</v>
      </c>
      <c r="C93" s="10" t="s">
        <v>12</v>
      </c>
      <c r="D93" s="10" t="s">
        <v>13</v>
      </c>
      <c r="E93" s="10" t="s">
        <v>14</v>
      </c>
      <c r="F93" s="10">
        <v>180.0</v>
      </c>
      <c r="G93" s="10" t="str">
        <f>IFERROR(VLOOKUP(C93&amp;D93&amp;E93&amp;F93,productID!$A$2:$B$7,2,FALSE))</f>
        <v/>
      </c>
      <c r="H93" s="10">
        <v>2022.0</v>
      </c>
      <c r="I93" s="10" t="s">
        <v>54</v>
      </c>
      <c r="J93" s="10">
        <v>95.86963120902792</v>
      </c>
      <c r="K93" s="11"/>
      <c r="L93" s="12"/>
      <c r="M93" s="9">
        <v>4.490749531134546</v>
      </c>
    </row>
    <row r="94">
      <c r="A94" s="10" t="s">
        <v>26</v>
      </c>
      <c r="B94" s="10" t="s">
        <v>11</v>
      </c>
      <c r="C94" s="10" t="s">
        <v>12</v>
      </c>
      <c r="D94" s="10" t="s">
        <v>13</v>
      </c>
      <c r="E94" s="10" t="s">
        <v>14</v>
      </c>
      <c r="F94" s="10">
        <v>180.0</v>
      </c>
      <c r="G94" s="10" t="str">
        <f>IFERROR(VLOOKUP(C94&amp;D94&amp;E94&amp;F94,productID!$A$2:$B$7,2,FALSE))</f>
        <v/>
      </c>
      <c r="H94" s="10">
        <v>2023.0</v>
      </c>
      <c r="I94" s="10" t="s">
        <v>51</v>
      </c>
      <c r="J94" s="10">
        <v>88.84724095839007</v>
      </c>
      <c r="K94" s="11"/>
      <c r="L94" s="12"/>
      <c r="M94" s="9">
        <v>4.120675522857409</v>
      </c>
    </row>
    <row r="95">
      <c r="A95" s="10" t="s">
        <v>26</v>
      </c>
      <c r="B95" s="10" t="s">
        <v>11</v>
      </c>
      <c r="C95" s="10" t="s">
        <v>12</v>
      </c>
      <c r="D95" s="10" t="s">
        <v>13</v>
      </c>
      <c r="E95" s="10" t="s">
        <v>14</v>
      </c>
      <c r="F95" s="10">
        <v>180.0</v>
      </c>
      <c r="G95" s="10" t="str">
        <f>IFERROR(VLOOKUP(C95&amp;D95&amp;E95&amp;F95,productID!$A$2:$B$7,2,FALSE))</f>
        <v/>
      </c>
      <c r="H95" s="10">
        <v>2023.0</v>
      </c>
      <c r="I95" s="10" t="s">
        <v>52</v>
      </c>
      <c r="J95" s="10">
        <v>84.03499991610066</v>
      </c>
      <c r="K95" s="11"/>
      <c r="L95" s="12"/>
      <c r="M95" s="9">
        <v>3.771298501163086</v>
      </c>
    </row>
    <row r="96">
      <c r="A96" s="10" t="s">
        <v>26</v>
      </c>
      <c r="B96" s="10" t="s">
        <v>11</v>
      </c>
      <c r="C96" s="10" t="s">
        <v>12</v>
      </c>
      <c r="D96" s="10" t="s">
        <v>13</v>
      </c>
      <c r="E96" s="10" t="s">
        <v>14</v>
      </c>
      <c r="F96" s="10">
        <v>180.0</v>
      </c>
      <c r="G96" s="10" t="str">
        <f>IFERROR(VLOOKUP(C96&amp;D96&amp;E96&amp;F96,productID!$A$2:$B$7,2,FALSE))</f>
        <v/>
      </c>
      <c r="H96" s="10">
        <v>2023.0</v>
      </c>
      <c r="I96" s="10" t="s">
        <v>53</v>
      </c>
      <c r="J96" s="10">
        <v>76.46031543854667</v>
      </c>
      <c r="K96" s="11"/>
      <c r="L96" s="12"/>
      <c r="M96" s="9">
        <v>3.508512684358369</v>
      </c>
    </row>
    <row r="97">
      <c r="A97" s="10" t="s">
        <v>26</v>
      </c>
      <c r="B97" s="10" t="s">
        <v>11</v>
      </c>
      <c r="C97" s="10" t="s">
        <v>12</v>
      </c>
      <c r="D97" s="10" t="s">
        <v>13</v>
      </c>
      <c r="E97" s="10" t="s">
        <v>14</v>
      </c>
      <c r="F97" s="10">
        <v>180.0</v>
      </c>
      <c r="G97" s="10" t="str">
        <f>IFERROR(VLOOKUP(C97&amp;D97&amp;E97&amp;F97,productID!$A$2:$B$7,2,FALSE))</f>
        <v/>
      </c>
      <c r="H97" s="10">
        <v>2023.0</v>
      </c>
      <c r="I97" s="10" t="s">
        <v>54</v>
      </c>
      <c r="J97" s="10">
        <v>70.28711487875375</v>
      </c>
      <c r="K97" s="11"/>
      <c r="L97" s="12"/>
      <c r="M97" s="9">
        <v>3.3425814028018968</v>
      </c>
    </row>
    <row r="98">
      <c r="A98" s="10" t="s">
        <v>10</v>
      </c>
      <c r="B98" s="10" t="s">
        <v>11</v>
      </c>
      <c r="C98" s="10" t="s">
        <v>27</v>
      </c>
      <c r="D98" s="10" t="s">
        <v>13</v>
      </c>
      <c r="E98" s="10" t="s">
        <v>14</v>
      </c>
      <c r="F98" s="10">
        <v>180.0</v>
      </c>
      <c r="G98" s="10" t="str">
        <f>IFERROR(VLOOKUP(C98&amp;D98&amp;E98&amp;F98,productID!$A$2:$B$7,2,FALSE))</f>
        <v/>
      </c>
      <c r="H98" s="10">
        <v>2022.0</v>
      </c>
      <c r="I98" s="10" t="s">
        <v>51</v>
      </c>
      <c r="J98" s="10">
        <v>73.99075482123288</v>
      </c>
      <c r="K98" s="11"/>
      <c r="L98" s="12"/>
      <c r="M98" s="9">
        <v>6.484403117340011</v>
      </c>
    </row>
    <row r="99">
      <c r="A99" s="10" t="s">
        <v>10</v>
      </c>
      <c r="B99" s="10" t="s">
        <v>11</v>
      </c>
      <c r="C99" s="10" t="s">
        <v>27</v>
      </c>
      <c r="D99" s="10" t="s">
        <v>13</v>
      </c>
      <c r="E99" s="10" t="s">
        <v>14</v>
      </c>
      <c r="F99" s="10">
        <v>180.0</v>
      </c>
      <c r="G99" s="10" t="str">
        <f>IFERROR(VLOOKUP(C99&amp;D99&amp;E99&amp;F99,productID!$A$2:$B$7,2,FALSE))</f>
        <v/>
      </c>
      <c r="H99" s="10">
        <v>2022.0</v>
      </c>
      <c r="I99" s="10" t="s">
        <v>52</v>
      </c>
      <c r="J99" s="10">
        <v>69.2968548916902</v>
      </c>
      <c r="K99" s="11"/>
      <c r="L99" s="12"/>
      <c r="M99" s="9">
        <v>6.047950812758642</v>
      </c>
    </row>
    <row r="100">
      <c r="A100" s="10" t="s">
        <v>10</v>
      </c>
      <c r="B100" s="10" t="s">
        <v>11</v>
      </c>
      <c r="C100" s="10" t="s">
        <v>27</v>
      </c>
      <c r="D100" s="10" t="s">
        <v>13</v>
      </c>
      <c r="E100" s="10" t="s">
        <v>14</v>
      </c>
      <c r="F100" s="10">
        <v>180.0</v>
      </c>
      <c r="G100" s="10" t="str">
        <f>IFERROR(VLOOKUP(C100&amp;D100&amp;E100&amp;F100,productID!$A$2:$B$7,2,FALSE))</f>
        <v/>
      </c>
      <c r="H100" s="10">
        <v>2022.0</v>
      </c>
      <c r="I100" s="10" t="s">
        <v>53</v>
      </c>
      <c r="J100" s="10">
        <v>70.13207016546579</v>
      </c>
      <c r="K100" s="11"/>
      <c r="L100" s="12"/>
      <c r="M100" s="9">
        <v>6.130340960675384</v>
      </c>
    </row>
    <row r="101">
      <c r="A101" s="10" t="s">
        <v>10</v>
      </c>
      <c r="B101" s="10" t="s">
        <v>11</v>
      </c>
      <c r="C101" s="10" t="s">
        <v>27</v>
      </c>
      <c r="D101" s="10" t="s">
        <v>13</v>
      </c>
      <c r="E101" s="10" t="s">
        <v>14</v>
      </c>
      <c r="F101" s="10">
        <v>180.0</v>
      </c>
      <c r="G101" s="10" t="str">
        <f>IFERROR(VLOOKUP(C101&amp;D101&amp;E101&amp;F101,productID!$A$2:$B$7,2,FALSE))</f>
        <v/>
      </c>
      <c r="H101" s="10">
        <v>2022.0</v>
      </c>
      <c r="I101" s="10" t="s">
        <v>54</v>
      </c>
      <c r="J101" s="10">
        <v>79.17259697248943</v>
      </c>
      <c r="K101" s="11"/>
      <c r="L101" s="12"/>
      <c r="M101" s="9">
        <v>7.169751793678096</v>
      </c>
    </row>
    <row r="102">
      <c r="A102" s="10" t="s">
        <v>10</v>
      </c>
      <c r="B102" s="10" t="s">
        <v>11</v>
      </c>
      <c r="C102" s="10" t="s">
        <v>27</v>
      </c>
      <c r="D102" s="10" t="s">
        <v>13</v>
      </c>
      <c r="E102" s="10" t="s">
        <v>14</v>
      </c>
      <c r="F102" s="10">
        <v>180.0</v>
      </c>
      <c r="G102" s="10" t="str">
        <f>IFERROR(VLOOKUP(C102&amp;D102&amp;E102&amp;F102,productID!$A$2:$B$7,2,FALSE))</f>
        <v/>
      </c>
      <c r="H102" s="10">
        <v>2023.0</v>
      </c>
      <c r="I102" s="10" t="s">
        <v>51</v>
      </c>
      <c r="J102" s="10">
        <v>73.10069955676875</v>
      </c>
      <c r="K102" s="11"/>
      <c r="L102" s="12"/>
      <c r="M102" s="9">
        <v>6.198380438660216</v>
      </c>
    </row>
    <row r="103">
      <c r="A103" s="10" t="s">
        <v>10</v>
      </c>
      <c r="B103" s="10" t="s">
        <v>11</v>
      </c>
      <c r="C103" s="10" t="s">
        <v>27</v>
      </c>
      <c r="D103" s="10" t="s">
        <v>13</v>
      </c>
      <c r="E103" s="10" t="s">
        <v>14</v>
      </c>
      <c r="F103" s="10">
        <v>180.0</v>
      </c>
      <c r="G103" s="10" t="str">
        <f>IFERROR(VLOOKUP(C103&amp;D103&amp;E103&amp;F103,productID!$A$2:$B$7,2,FALSE))</f>
        <v/>
      </c>
      <c r="H103" s="10">
        <v>2023.0</v>
      </c>
      <c r="I103" s="10" t="s">
        <v>52</v>
      </c>
      <c r="J103" s="10">
        <v>82.47985112925574</v>
      </c>
      <c r="K103" s="11"/>
      <c r="L103" s="12"/>
      <c r="M103" s="9">
        <v>6.518217276118509</v>
      </c>
    </row>
    <row r="104">
      <c r="A104" s="10" t="s">
        <v>10</v>
      </c>
      <c r="B104" s="10" t="s">
        <v>11</v>
      </c>
      <c r="C104" s="10" t="s">
        <v>27</v>
      </c>
      <c r="D104" s="10" t="s">
        <v>13</v>
      </c>
      <c r="E104" s="10" t="s">
        <v>14</v>
      </c>
      <c r="F104" s="10">
        <v>180.0</v>
      </c>
      <c r="G104" s="10" t="str">
        <f>IFERROR(VLOOKUP(C104&amp;D104&amp;E104&amp;F104,productID!$A$2:$B$7,2,FALSE))</f>
        <v/>
      </c>
      <c r="H104" s="10">
        <v>2023.0</v>
      </c>
      <c r="I104" s="10" t="s">
        <v>53</v>
      </c>
      <c r="J104" s="10">
        <v>86.98064503323087</v>
      </c>
      <c r="K104" s="11"/>
      <c r="L104" s="12"/>
      <c r="M104" s="9">
        <v>7.045785696482453</v>
      </c>
    </row>
    <row r="105">
      <c r="A105" s="10" t="s">
        <v>10</v>
      </c>
      <c r="B105" s="10" t="s">
        <v>11</v>
      </c>
      <c r="C105" s="10" t="s">
        <v>27</v>
      </c>
      <c r="D105" s="10" t="s">
        <v>13</v>
      </c>
      <c r="E105" s="10" t="s">
        <v>14</v>
      </c>
      <c r="F105" s="10">
        <v>180.0</v>
      </c>
      <c r="G105" s="10" t="str">
        <f>IFERROR(VLOOKUP(C105&amp;D105&amp;E105&amp;F105,productID!$A$2:$B$7,2,FALSE))</f>
        <v/>
      </c>
      <c r="H105" s="10">
        <v>2023.0</v>
      </c>
      <c r="I105" s="10" t="s">
        <v>54</v>
      </c>
      <c r="J105" s="10">
        <v>74.03851715612842</v>
      </c>
      <c r="K105" s="11"/>
      <c r="L105" s="12"/>
      <c r="M105" s="9">
        <v>6.370693801983617</v>
      </c>
    </row>
    <row r="106">
      <c r="A106" s="10" t="s">
        <v>24</v>
      </c>
      <c r="B106" s="10" t="s">
        <v>11</v>
      </c>
      <c r="C106" s="10" t="s">
        <v>27</v>
      </c>
      <c r="D106" s="10" t="s">
        <v>13</v>
      </c>
      <c r="E106" s="10" t="s">
        <v>14</v>
      </c>
      <c r="F106" s="10">
        <v>180.0</v>
      </c>
      <c r="G106" s="10" t="str">
        <f>IFERROR(VLOOKUP(C106&amp;D106&amp;E106&amp;F106,productID!$A$2:$B$7,2,FALSE))</f>
        <v/>
      </c>
      <c r="H106" s="10">
        <v>2022.0</v>
      </c>
      <c r="I106" s="10" t="s">
        <v>51</v>
      </c>
      <c r="J106" s="10">
        <v>39.85781085773428</v>
      </c>
      <c r="K106" s="11"/>
      <c r="L106" s="12"/>
      <c r="M106" s="9">
        <v>4.451487461635556</v>
      </c>
    </row>
    <row r="107">
      <c r="A107" s="10" t="s">
        <v>24</v>
      </c>
      <c r="B107" s="10" t="s">
        <v>11</v>
      </c>
      <c r="C107" s="10" t="s">
        <v>27</v>
      </c>
      <c r="D107" s="10" t="s">
        <v>13</v>
      </c>
      <c r="E107" s="10" t="s">
        <v>14</v>
      </c>
      <c r="F107" s="10">
        <v>180.0</v>
      </c>
      <c r="G107" s="10" t="str">
        <f>IFERROR(VLOOKUP(C107&amp;D107&amp;E107&amp;F107,productID!$A$2:$B$7,2,FALSE))</f>
        <v/>
      </c>
      <c r="H107" s="10">
        <v>2022.0</v>
      </c>
      <c r="I107" s="10" t="s">
        <v>52</v>
      </c>
      <c r="J107" s="10">
        <v>43.62283959137606</v>
      </c>
      <c r="K107" s="11"/>
      <c r="L107" s="12"/>
      <c r="M107" s="9">
        <v>4.657111868649335</v>
      </c>
    </row>
    <row r="108">
      <c r="A108" s="10" t="s">
        <v>24</v>
      </c>
      <c r="B108" s="10" t="s">
        <v>11</v>
      </c>
      <c r="C108" s="10" t="s">
        <v>27</v>
      </c>
      <c r="D108" s="10" t="s">
        <v>13</v>
      </c>
      <c r="E108" s="10" t="s">
        <v>14</v>
      </c>
      <c r="F108" s="10">
        <v>180.0</v>
      </c>
      <c r="G108" s="10" t="str">
        <f>IFERROR(VLOOKUP(C108&amp;D108&amp;E108&amp;F108,productID!$A$2:$B$7,2,FALSE))</f>
        <v/>
      </c>
      <c r="H108" s="10">
        <v>2022.0</v>
      </c>
      <c r="I108" s="10" t="s">
        <v>53</v>
      </c>
      <c r="J108" s="10">
        <v>45.09153055788253</v>
      </c>
      <c r="K108" s="11"/>
      <c r="L108" s="12"/>
      <c r="M108" s="9">
        <v>4.685425606660864</v>
      </c>
    </row>
    <row r="109">
      <c r="A109" s="10" t="s">
        <v>24</v>
      </c>
      <c r="B109" s="10" t="s">
        <v>11</v>
      </c>
      <c r="C109" s="10" t="s">
        <v>27</v>
      </c>
      <c r="D109" s="10" t="s">
        <v>13</v>
      </c>
      <c r="E109" s="10" t="s">
        <v>14</v>
      </c>
      <c r="F109" s="10">
        <v>180.0</v>
      </c>
      <c r="G109" s="10" t="str">
        <f>IFERROR(VLOOKUP(C109&amp;D109&amp;E109&amp;F109,productID!$A$2:$B$7,2,FALSE))</f>
        <v/>
      </c>
      <c r="H109" s="10">
        <v>2022.0</v>
      </c>
      <c r="I109" s="10" t="s">
        <v>54</v>
      </c>
      <c r="J109" s="10">
        <v>45.5707115064344</v>
      </c>
      <c r="K109" s="11"/>
      <c r="L109" s="12"/>
      <c r="M109" s="9">
        <v>4.892160395388233</v>
      </c>
    </row>
    <row r="110">
      <c r="A110" s="10" t="s">
        <v>24</v>
      </c>
      <c r="B110" s="10" t="s">
        <v>11</v>
      </c>
      <c r="C110" s="10" t="s">
        <v>27</v>
      </c>
      <c r="D110" s="10" t="s">
        <v>13</v>
      </c>
      <c r="E110" s="10" t="s">
        <v>14</v>
      </c>
      <c r="F110" s="10">
        <v>180.0</v>
      </c>
      <c r="G110" s="10" t="str">
        <f>IFERROR(VLOOKUP(C110&amp;D110&amp;E110&amp;F110,productID!$A$2:$B$7,2,FALSE))</f>
        <v/>
      </c>
      <c r="H110" s="10">
        <v>2023.0</v>
      </c>
      <c r="I110" s="10" t="s">
        <v>51</v>
      </c>
      <c r="J110" s="10">
        <v>45.668870349411215</v>
      </c>
      <c r="K110" s="11"/>
      <c r="L110" s="12"/>
      <c r="M110" s="9">
        <v>4.775770096575858</v>
      </c>
    </row>
    <row r="111">
      <c r="A111" s="10" t="s">
        <v>24</v>
      </c>
      <c r="B111" s="10" t="s">
        <v>11</v>
      </c>
      <c r="C111" s="10" t="s">
        <v>27</v>
      </c>
      <c r="D111" s="10" t="s">
        <v>13</v>
      </c>
      <c r="E111" s="10" t="s">
        <v>14</v>
      </c>
      <c r="F111" s="10">
        <v>180.0</v>
      </c>
      <c r="G111" s="10" t="str">
        <f>IFERROR(VLOOKUP(C111&amp;D111&amp;E111&amp;F111,productID!$A$2:$B$7,2,FALSE))</f>
        <v/>
      </c>
      <c r="H111" s="10">
        <v>2023.0</v>
      </c>
      <c r="I111" s="10" t="s">
        <v>52</v>
      </c>
      <c r="J111" s="10">
        <v>52.43549526097607</v>
      </c>
      <c r="K111" s="11"/>
      <c r="L111" s="12"/>
      <c r="M111" s="9">
        <v>5.411492760634931</v>
      </c>
    </row>
    <row r="112">
      <c r="A112" s="10" t="s">
        <v>24</v>
      </c>
      <c r="B112" s="10" t="s">
        <v>11</v>
      </c>
      <c r="C112" s="10" t="s">
        <v>27</v>
      </c>
      <c r="D112" s="10" t="s">
        <v>13</v>
      </c>
      <c r="E112" s="10" t="s">
        <v>14</v>
      </c>
      <c r="F112" s="10">
        <v>180.0</v>
      </c>
      <c r="G112" s="10" t="str">
        <f>IFERROR(VLOOKUP(C112&amp;D112&amp;E112&amp;F112,productID!$A$2:$B$7,2,FALSE))</f>
        <v/>
      </c>
      <c r="H112" s="10">
        <v>2023.0</v>
      </c>
      <c r="I112" s="10" t="s">
        <v>53</v>
      </c>
      <c r="J112" s="10">
        <v>51.82540201239777</v>
      </c>
      <c r="K112" s="11"/>
      <c r="L112" s="12"/>
      <c r="M112" s="9">
        <v>5.692885007055795</v>
      </c>
    </row>
    <row r="113">
      <c r="A113" s="10" t="s">
        <v>24</v>
      </c>
      <c r="B113" s="10" t="s">
        <v>11</v>
      </c>
      <c r="C113" s="10" t="s">
        <v>27</v>
      </c>
      <c r="D113" s="10" t="s">
        <v>13</v>
      </c>
      <c r="E113" s="10" t="s">
        <v>14</v>
      </c>
      <c r="F113" s="10">
        <v>180.0</v>
      </c>
      <c r="G113" s="10" t="str">
        <f>IFERROR(VLOOKUP(C113&amp;D113&amp;E113&amp;F113,productID!$A$2:$B$7,2,FALSE))</f>
        <v/>
      </c>
      <c r="H113" s="10">
        <v>2023.0</v>
      </c>
      <c r="I113" s="10" t="s">
        <v>54</v>
      </c>
      <c r="J113" s="10">
        <v>46.71621757351582</v>
      </c>
      <c r="K113" s="11"/>
      <c r="L113" s="12"/>
      <c r="M113" s="9">
        <v>5.924334636932793</v>
      </c>
    </row>
    <row r="114">
      <c r="A114" s="10" t="s">
        <v>25</v>
      </c>
      <c r="B114" s="10" t="s">
        <v>11</v>
      </c>
      <c r="C114" s="10" t="s">
        <v>27</v>
      </c>
      <c r="D114" s="10" t="s">
        <v>13</v>
      </c>
      <c r="E114" s="10" t="s">
        <v>14</v>
      </c>
      <c r="F114" s="10">
        <v>180.0</v>
      </c>
      <c r="G114" s="10" t="str">
        <f>IFERROR(VLOOKUP(C114&amp;D114&amp;E114&amp;F114,productID!$A$2:$B$7,2,FALSE))</f>
        <v/>
      </c>
      <c r="H114" s="10">
        <v>2022.0</v>
      </c>
      <c r="I114" s="10" t="s">
        <v>51</v>
      </c>
      <c r="J114" s="10">
        <v>73.1689637030344</v>
      </c>
      <c r="K114" s="11"/>
      <c r="L114" s="12"/>
      <c r="M114" s="9">
        <v>7.487283942387048</v>
      </c>
    </row>
    <row r="115">
      <c r="A115" s="10" t="s">
        <v>25</v>
      </c>
      <c r="B115" s="10" t="s">
        <v>11</v>
      </c>
      <c r="C115" s="10" t="s">
        <v>27</v>
      </c>
      <c r="D115" s="10" t="s">
        <v>13</v>
      </c>
      <c r="E115" s="10" t="s">
        <v>14</v>
      </c>
      <c r="F115" s="10">
        <v>180.0</v>
      </c>
      <c r="G115" s="10" t="str">
        <f>IFERROR(VLOOKUP(C115&amp;D115&amp;E115&amp;F115,productID!$A$2:$B$7,2,FALSE))</f>
        <v/>
      </c>
      <c r="H115" s="10">
        <v>2022.0</v>
      </c>
      <c r="I115" s="10" t="s">
        <v>52</v>
      </c>
      <c r="J115" s="10">
        <v>74.9349079185817</v>
      </c>
      <c r="K115" s="11"/>
      <c r="L115" s="12"/>
      <c r="M115" s="9">
        <v>7.600438484070427</v>
      </c>
    </row>
    <row r="116">
      <c r="A116" s="10" t="s">
        <v>25</v>
      </c>
      <c r="B116" s="10" t="s">
        <v>11</v>
      </c>
      <c r="C116" s="10" t="s">
        <v>27</v>
      </c>
      <c r="D116" s="10" t="s">
        <v>13</v>
      </c>
      <c r="E116" s="10" t="s">
        <v>14</v>
      </c>
      <c r="F116" s="10">
        <v>180.0</v>
      </c>
      <c r="G116" s="10" t="str">
        <f>IFERROR(VLOOKUP(C116&amp;D116&amp;E116&amp;F116,productID!$A$2:$B$7,2,FALSE))</f>
        <v/>
      </c>
      <c r="H116" s="10">
        <v>2022.0</v>
      </c>
      <c r="I116" s="10" t="s">
        <v>53</v>
      </c>
      <c r="J116" s="10">
        <v>93.31235742086842</v>
      </c>
      <c r="K116" s="11"/>
      <c r="L116" s="12"/>
      <c r="M116" s="9">
        <v>9.101166216376356</v>
      </c>
    </row>
    <row r="117">
      <c r="A117" s="10" t="s">
        <v>25</v>
      </c>
      <c r="B117" s="10" t="s">
        <v>11</v>
      </c>
      <c r="C117" s="10" t="s">
        <v>27</v>
      </c>
      <c r="D117" s="10" t="s">
        <v>13</v>
      </c>
      <c r="E117" s="10" t="s">
        <v>14</v>
      </c>
      <c r="F117" s="10">
        <v>180.0</v>
      </c>
      <c r="G117" s="10" t="str">
        <f>IFERROR(VLOOKUP(C117&amp;D117&amp;E117&amp;F117,productID!$A$2:$B$7,2,FALSE))</f>
        <v/>
      </c>
      <c r="H117" s="10">
        <v>2022.0</v>
      </c>
      <c r="I117" s="10" t="s">
        <v>54</v>
      </c>
      <c r="J117" s="10">
        <v>100.56769530083231</v>
      </c>
      <c r="K117" s="11"/>
      <c r="L117" s="12"/>
      <c r="M117" s="9">
        <v>9.675799214865094</v>
      </c>
    </row>
    <row r="118">
      <c r="A118" s="10" t="s">
        <v>25</v>
      </c>
      <c r="B118" s="10" t="s">
        <v>11</v>
      </c>
      <c r="C118" s="10" t="s">
        <v>27</v>
      </c>
      <c r="D118" s="10" t="s">
        <v>13</v>
      </c>
      <c r="E118" s="10" t="s">
        <v>14</v>
      </c>
      <c r="F118" s="10">
        <v>180.0</v>
      </c>
      <c r="G118" s="10" t="str">
        <f>IFERROR(VLOOKUP(C118&amp;D118&amp;E118&amp;F118,productID!$A$2:$B$7,2,FALSE))</f>
        <v/>
      </c>
      <c r="H118" s="10">
        <v>2023.0</v>
      </c>
      <c r="I118" s="10" t="s">
        <v>51</v>
      </c>
      <c r="J118" s="10">
        <v>104.30536681094014</v>
      </c>
      <c r="K118" s="11"/>
      <c r="L118" s="12"/>
      <c r="M118" s="9">
        <v>9.498363623010912</v>
      </c>
    </row>
    <row r="119">
      <c r="A119" s="10" t="s">
        <v>25</v>
      </c>
      <c r="B119" s="10" t="s">
        <v>11</v>
      </c>
      <c r="C119" s="10" t="s">
        <v>27</v>
      </c>
      <c r="D119" s="10" t="s">
        <v>13</v>
      </c>
      <c r="E119" s="10" t="s">
        <v>14</v>
      </c>
      <c r="F119" s="10">
        <v>180.0</v>
      </c>
      <c r="G119" s="10" t="str">
        <f>IFERROR(VLOOKUP(C119&amp;D119&amp;E119&amp;F119,productID!$A$2:$B$7,2,FALSE))</f>
        <v/>
      </c>
      <c r="H119" s="10">
        <v>2023.0</v>
      </c>
      <c r="I119" s="10" t="s">
        <v>52</v>
      </c>
      <c r="J119" s="10">
        <v>115.93775657575355</v>
      </c>
      <c r="K119" s="11"/>
      <c r="L119" s="12"/>
      <c r="M119" s="9">
        <v>10.409573269616747</v>
      </c>
    </row>
    <row r="120">
      <c r="A120" s="10" t="s">
        <v>25</v>
      </c>
      <c r="B120" s="10" t="s">
        <v>11</v>
      </c>
      <c r="C120" s="10" t="s">
        <v>27</v>
      </c>
      <c r="D120" s="10" t="s">
        <v>13</v>
      </c>
      <c r="E120" s="10" t="s">
        <v>14</v>
      </c>
      <c r="F120" s="10">
        <v>180.0</v>
      </c>
      <c r="G120" s="10" t="str">
        <f>IFERROR(VLOOKUP(C120&amp;D120&amp;E120&amp;F120,productID!$A$2:$B$7,2,FALSE))</f>
        <v/>
      </c>
      <c r="H120" s="10">
        <v>2023.0</v>
      </c>
      <c r="I120" s="10" t="s">
        <v>53</v>
      </c>
      <c r="J120" s="10">
        <v>118.24942994699308</v>
      </c>
      <c r="K120" s="11"/>
      <c r="L120" s="12"/>
      <c r="M120" s="9">
        <v>11.26987905076151</v>
      </c>
    </row>
    <row r="121">
      <c r="A121" s="10" t="s">
        <v>25</v>
      </c>
      <c r="B121" s="10" t="s">
        <v>11</v>
      </c>
      <c r="C121" s="10" t="s">
        <v>27</v>
      </c>
      <c r="D121" s="10" t="s">
        <v>13</v>
      </c>
      <c r="E121" s="10" t="s">
        <v>14</v>
      </c>
      <c r="F121" s="10">
        <v>180.0</v>
      </c>
      <c r="G121" s="10" t="str">
        <f>IFERROR(VLOOKUP(C121&amp;D121&amp;E121&amp;F121,productID!$A$2:$B$7,2,FALSE))</f>
        <v/>
      </c>
      <c r="H121" s="10">
        <v>2023.0</v>
      </c>
      <c r="I121" s="10" t="s">
        <v>54</v>
      </c>
      <c r="J121" s="10">
        <v>112.7676207614797</v>
      </c>
      <c r="K121" s="11"/>
      <c r="L121" s="12"/>
      <c r="M121" s="9">
        <v>11.477568747179799</v>
      </c>
    </row>
    <row r="122">
      <c r="A122" s="10" t="s">
        <v>26</v>
      </c>
      <c r="B122" s="10" t="s">
        <v>11</v>
      </c>
      <c r="C122" s="10" t="s">
        <v>27</v>
      </c>
      <c r="D122" s="10" t="s">
        <v>13</v>
      </c>
      <c r="E122" s="10" t="s">
        <v>14</v>
      </c>
      <c r="F122" s="10">
        <v>180.0</v>
      </c>
      <c r="G122" s="10" t="str">
        <f>IFERROR(VLOOKUP(C122&amp;D122&amp;E122&amp;F122,productID!$A$2:$B$7,2,FALSE))</f>
        <v/>
      </c>
      <c r="H122" s="10">
        <v>2022.0</v>
      </c>
      <c r="I122" s="10" t="s">
        <v>51</v>
      </c>
      <c r="J122" s="10">
        <v>144.57042736474432</v>
      </c>
      <c r="K122" s="11"/>
      <c r="L122" s="12"/>
      <c r="M122" s="9">
        <v>6.998585816280155</v>
      </c>
    </row>
    <row r="123">
      <c r="A123" s="10" t="s">
        <v>26</v>
      </c>
      <c r="B123" s="10" t="s">
        <v>11</v>
      </c>
      <c r="C123" s="10" t="s">
        <v>27</v>
      </c>
      <c r="D123" s="10" t="s">
        <v>13</v>
      </c>
      <c r="E123" s="10" t="s">
        <v>14</v>
      </c>
      <c r="F123" s="10">
        <v>180.0</v>
      </c>
      <c r="G123" s="10" t="str">
        <f>IFERROR(VLOOKUP(C123&amp;D123&amp;E123&amp;F123,productID!$A$2:$B$7,2,FALSE))</f>
        <v/>
      </c>
      <c r="H123" s="10">
        <v>2022.0</v>
      </c>
      <c r="I123" s="10" t="s">
        <v>52</v>
      </c>
      <c r="J123" s="10">
        <v>146.05304058789017</v>
      </c>
      <c r="K123" s="11"/>
      <c r="L123" s="12"/>
      <c r="M123" s="9">
        <v>6.954998218728664</v>
      </c>
    </row>
    <row r="124">
      <c r="A124" s="10" t="s">
        <v>26</v>
      </c>
      <c r="B124" s="10" t="s">
        <v>11</v>
      </c>
      <c r="C124" s="10" t="s">
        <v>27</v>
      </c>
      <c r="D124" s="10" t="s">
        <v>13</v>
      </c>
      <c r="E124" s="10" t="s">
        <v>14</v>
      </c>
      <c r="F124" s="10">
        <v>180.0</v>
      </c>
      <c r="G124" s="10" t="str">
        <f>IFERROR(VLOOKUP(C124&amp;D124&amp;E124&amp;F124,productID!$A$2:$B$7,2,FALSE))</f>
        <v/>
      </c>
      <c r="H124" s="10">
        <v>2022.0</v>
      </c>
      <c r="I124" s="10" t="s">
        <v>53</v>
      </c>
      <c r="J124" s="10">
        <v>160.7503588169419</v>
      </c>
      <c r="K124" s="11"/>
      <c r="L124" s="12"/>
      <c r="M124" s="9">
        <v>7.674928913603825</v>
      </c>
    </row>
    <row r="125">
      <c r="A125" s="10" t="s">
        <v>26</v>
      </c>
      <c r="B125" s="10" t="s">
        <v>11</v>
      </c>
      <c r="C125" s="10" t="s">
        <v>27</v>
      </c>
      <c r="D125" s="10" t="s">
        <v>13</v>
      </c>
      <c r="E125" s="10" t="s">
        <v>14</v>
      </c>
      <c r="F125" s="10">
        <v>180.0</v>
      </c>
      <c r="G125" s="10" t="str">
        <f>IFERROR(VLOOKUP(C125&amp;D125&amp;E125&amp;F125,productID!$A$2:$B$7,2,FALSE))</f>
        <v/>
      </c>
      <c r="H125" s="10">
        <v>2022.0</v>
      </c>
      <c r="I125" s="10" t="s">
        <v>54</v>
      </c>
      <c r="J125" s="10">
        <v>168.727668935052</v>
      </c>
      <c r="K125" s="11"/>
      <c r="L125" s="12"/>
      <c r="M125" s="9">
        <v>7.903584175758849</v>
      </c>
    </row>
    <row r="126">
      <c r="A126" s="10" t="s">
        <v>26</v>
      </c>
      <c r="B126" s="10" t="s">
        <v>11</v>
      </c>
      <c r="C126" s="10" t="s">
        <v>27</v>
      </c>
      <c r="D126" s="10" t="s">
        <v>13</v>
      </c>
      <c r="E126" s="10" t="s">
        <v>14</v>
      </c>
      <c r="F126" s="10">
        <v>180.0</v>
      </c>
      <c r="G126" s="10" t="str">
        <f>IFERROR(VLOOKUP(C126&amp;D126&amp;E126&amp;F126,productID!$A$2:$B$7,2,FALSE))</f>
        <v/>
      </c>
      <c r="H126" s="10">
        <v>2023.0</v>
      </c>
      <c r="I126" s="10" t="s">
        <v>51</v>
      </c>
      <c r="J126" s="10">
        <v>178.29416575352272</v>
      </c>
      <c r="K126" s="11"/>
      <c r="L126" s="12"/>
      <c r="M126" s="9">
        <v>8.269163980375058</v>
      </c>
    </row>
    <row r="127">
      <c r="A127" s="10" t="s">
        <v>26</v>
      </c>
      <c r="B127" s="10" t="s">
        <v>11</v>
      </c>
      <c r="C127" s="10" t="s">
        <v>27</v>
      </c>
      <c r="D127" s="10" t="s">
        <v>13</v>
      </c>
      <c r="E127" s="10" t="s">
        <v>14</v>
      </c>
      <c r="F127" s="10">
        <v>180.0</v>
      </c>
      <c r="G127" s="10" t="str">
        <f>IFERROR(VLOOKUP(C127&amp;D127&amp;E127&amp;F127,productID!$A$2:$B$7,2,FALSE))</f>
        <v/>
      </c>
      <c r="H127" s="10">
        <v>2023.0</v>
      </c>
      <c r="I127" s="10" t="s">
        <v>52</v>
      </c>
      <c r="J127" s="10">
        <v>189.4332207395674</v>
      </c>
      <c r="K127" s="11"/>
      <c r="L127" s="12"/>
      <c r="M127" s="9">
        <v>8.501329471754417</v>
      </c>
    </row>
    <row r="128">
      <c r="A128" s="10" t="s">
        <v>26</v>
      </c>
      <c r="B128" s="10" t="s">
        <v>11</v>
      </c>
      <c r="C128" s="10" t="s">
        <v>27</v>
      </c>
      <c r="D128" s="10" t="s">
        <v>13</v>
      </c>
      <c r="E128" s="10" t="s">
        <v>14</v>
      </c>
      <c r="F128" s="10">
        <v>180.0</v>
      </c>
      <c r="G128" s="10" t="str">
        <f>IFERROR(VLOOKUP(C128&amp;D128&amp;E128&amp;F128,productID!$A$2:$B$7,2,FALSE))</f>
        <v/>
      </c>
      <c r="H128" s="10">
        <v>2023.0</v>
      </c>
      <c r="I128" s="10" t="s">
        <v>53</v>
      </c>
      <c r="J128" s="10">
        <v>187.97215110340335</v>
      </c>
      <c r="K128" s="11"/>
      <c r="L128" s="12"/>
      <c r="M128" s="9">
        <v>8.625424478957058</v>
      </c>
    </row>
    <row r="129">
      <c r="A129" s="10" t="s">
        <v>26</v>
      </c>
      <c r="B129" s="10" t="s">
        <v>11</v>
      </c>
      <c r="C129" s="10" t="s">
        <v>27</v>
      </c>
      <c r="D129" s="10" t="s">
        <v>13</v>
      </c>
      <c r="E129" s="10" t="s">
        <v>14</v>
      </c>
      <c r="F129" s="10">
        <v>180.0</v>
      </c>
      <c r="G129" s="10" t="str">
        <f>IFERROR(VLOOKUP(C129&amp;D129&amp;E129&amp;F129,productID!$A$2:$B$7,2,FALSE))</f>
        <v/>
      </c>
      <c r="H129" s="10">
        <v>2023.0</v>
      </c>
      <c r="I129" s="10" t="s">
        <v>54</v>
      </c>
      <c r="J129" s="10">
        <v>195.04879437004362</v>
      </c>
      <c r="K129" s="11"/>
      <c r="L129" s="12"/>
      <c r="M129" s="9">
        <v>9.275760910444117</v>
      </c>
    </row>
    <row r="130">
      <c r="A130" s="10" t="s">
        <v>10</v>
      </c>
      <c r="B130" s="10" t="s">
        <v>11</v>
      </c>
      <c r="C130" s="10" t="s">
        <v>12</v>
      </c>
      <c r="D130" s="10" t="s">
        <v>28</v>
      </c>
      <c r="E130" s="10" t="s">
        <v>29</v>
      </c>
      <c r="F130" s="10">
        <v>220.0</v>
      </c>
      <c r="G130" s="10" t="str">
        <f>IFERROR(VLOOKUP(C130&amp;D130&amp;E130&amp;F130,productID!$A$2:$B$7,2,FALSE))</f>
        <v/>
      </c>
      <c r="H130" s="10">
        <v>2022.0</v>
      </c>
      <c r="I130" s="10" t="s">
        <v>51</v>
      </c>
      <c r="J130" s="10">
        <v>13.049478488828704</v>
      </c>
      <c r="K130" s="11"/>
      <c r="L130" s="12"/>
      <c r="M130" s="9">
        <v>1.1436304332489347</v>
      </c>
    </row>
    <row r="131">
      <c r="A131" s="10" t="s">
        <v>10</v>
      </c>
      <c r="B131" s="10" t="s">
        <v>11</v>
      </c>
      <c r="C131" s="10" t="s">
        <v>12</v>
      </c>
      <c r="D131" s="10" t="s">
        <v>28</v>
      </c>
      <c r="E131" s="10" t="s">
        <v>29</v>
      </c>
      <c r="F131" s="10">
        <v>220.0</v>
      </c>
      <c r="G131" s="10" t="str">
        <f>IFERROR(VLOOKUP(C131&amp;D131&amp;E131&amp;F131,productID!$A$2:$B$7,2,FALSE))</f>
        <v/>
      </c>
      <c r="H131" s="10">
        <v>2022.0</v>
      </c>
      <c r="I131" s="10" t="s">
        <v>52</v>
      </c>
      <c r="J131" s="10">
        <v>13.182757174481253</v>
      </c>
      <c r="K131" s="11"/>
      <c r="L131" s="12"/>
      <c r="M131" s="9">
        <v>1.150538030801228</v>
      </c>
    </row>
    <row r="132">
      <c r="A132" s="10" t="s">
        <v>10</v>
      </c>
      <c r="B132" s="10" t="s">
        <v>11</v>
      </c>
      <c r="C132" s="10" t="s">
        <v>12</v>
      </c>
      <c r="D132" s="10" t="s">
        <v>28</v>
      </c>
      <c r="E132" s="10" t="s">
        <v>29</v>
      </c>
      <c r="F132" s="10">
        <v>220.0</v>
      </c>
      <c r="G132" s="10" t="str">
        <f>IFERROR(VLOOKUP(C132&amp;D132&amp;E132&amp;F132,productID!$A$2:$B$7,2,FALSE))</f>
        <v/>
      </c>
      <c r="H132" s="10">
        <v>2022.0</v>
      </c>
      <c r="I132" s="10" t="s">
        <v>53</v>
      </c>
      <c r="J132" s="10">
        <v>16.171501833862663</v>
      </c>
      <c r="K132" s="11"/>
      <c r="L132" s="12"/>
      <c r="M132" s="9">
        <v>1.4135732747353293</v>
      </c>
    </row>
    <row r="133">
      <c r="A133" s="10" t="s">
        <v>10</v>
      </c>
      <c r="B133" s="10" t="s">
        <v>11</v>
      </c>
      <c r="C133" s="10" t="s">
        <v>12</v>
      </c>
      <c r="D133" s="10" t="s">
        <v>28</v>
      </c>
      <c r="E133" s="10" t="s">
        <v>29</v>
      </c>
      <c r="F133" s="10">
        <v>220.0</v>
      </c>
      <c r="G133" s="10" t="str">
        <f>IFERROR(VLOOKUP(C133&amp;D133&amp;E133&amp;F133,productID!$A$2:$B$7,2,FALSE))</f>
        <v/>
      </c>
      <c r="H133" s="10">
        <v>2022.0</v>
      </c>
      <c r="I133" s="10" t="s">
        <v>54</v>
      </c>
      <c r="J133" s="10">
        <v>18.64352528957619</v>
      </c>
      <c r="K133" s="11"/>
      <c r="L133" s="12"/>
      <c r="M133" s="9">
        <v>1.6883297251430156</v>
      </c>
    </row>
    <row r="134">
      <c r="A134" s="10" t="s">
        <v>10</v>
      </c>
      <c r="B134" s="10" t="s">
        <v>11</v>
      </c>
      <c r="C134" s="10" t="s">
        <v>12</v>
      </c>
      <c r="D134" s="10" t="s">
        <v>28</v>
      </c>
      <c r="E134" s="10" t="s">
        <v>29</v>
      </c>
      <c r="F134" s="10">
        <v>220.0</v>
      </c>
      <c r="G134" s="10" t="str">
        <f>IFERROR(VLOOKUP(C134&amp;D134&amp;E134&amp;F134,productID!$A$2:$B$7,2,FALSE))</f>
        <v/>
      </c>
      <c r="H134" s="10">
        <v>2023.0</v>
      </c>
      <c r="I134" s="10" t="s">
        <v>51</v>
      </c>
      <c r="J134" s="10">
        <v>19.423453284999283</v>
      </c>
      <c r="K134" s="11"/>
      <c r="L134" s="12"/>
      <c r="M134" s="9">
        <v>1.6469603385871046</v>
      </c>
    </row>
    <row r="135">
      <c r="A135" s="10" t="s">
        <v>10</v>
      </c>
      <c r="B135" s="10" t="s">
        <v>11</v>
      </c>
      <c r="C135" s="10" t="s">
        <v>12</v>
      </c>
      <c r="D135" s="10" t="s">
        <v>28</v>
      </c>
      <c r="E135" s="10" t="s">
        <v>29</v>
      </c>
      <c r="F135" s="10">
        <v>220.0</v>
      </c>
      <c r="G135" s="10" t="str">
        <f>IFERROR(VLOOKUP(C135&amp;D135&amp;E135&amp;F135,productID!$A$2:$B$7,2,FALSE))</f>
        <v/>
      </c>
      <c r="H135" s="10">
        <v>2023.0</v>
      </c>
      <c r="I135" s="10" t="s">
        <v>52</v>
      </c>
      <c r="J135" s="10">
        <v>21.66598785312182</v>
      </c>
      <c r="K135" s="11"/>
      <c r="L135" s="12"/>
      <c r="M135" s="9">
        <v>1.7122195832661995</v>
      </c>
    </row>
    <row r="136">
      <c r="A136" s="10" t="s">
        <v>10</v>
      </c>
      <c r="B136" s="10" t="s">
        <v>11</v>
      </c>
      <c r="C136" s="10" t="s">
        <v>12</v>
      </c>
      <c r="D136" s="10" t="s">
        <v>28</v>
      </c>
      <c r="E136" s="10" t="s">
        <v>29</v>
      </c>
      <c r="F136" s="10">
        <v>220.0</v>
      </c>
      <c r="G136" s="10" t="str">
        <f>IFERROR(VLOOKUP(C136&amp;D136&amp;E136&amp;F136,productID!$A$2:$B$7,2,FALSE))</f>
        <v/>
      </c>
      <c r="H136" s="10">
        <v>2023.0</v>
      </c>
      <c r="I136" s="10" t="s">
        <v>53</v>
      </c>
      <c r="J136" s="10">
        <v>21.040969499689027</v>
      </c>
      <c r="K136" s="11"/>
      <c r="L136" s="12"/>
      <c r="M136" s="9">
        <v>1.7044040301654888</v>
      </c>
    </row>
    <row r="137">
      <c r="A137" s="10" t="s">
        <v>10</v>
      </c>
      <c r="B137" s="10" t="s">
        <v>11</v>
      </c>
      <c r="C137" s="10" t="s">
        <v>12</v>
      </c>
      <c r="D137" s="10" t="s">
        <v>28</v>
      </c>
      <c r="E137" s="10" t="s">
        <v>29</v>
      </c>
      <c r="F137" s="10">
        <v>220.0</v>
      </c>
      <c r="G137" s="10" t="str">
        <f>IFERROR(VLOOKUP(C137&amp;D137&amp;E137&amp;F137,productID!$A$2:$B$7,2,FALSE))</f>
        <v/>
      </c>
      <c r="H137" s="10">
        <v>2023.0</v>
      </c>
      <c r="I137" s="10" t="s">
        <v>54</v>
      </c>
      <c r="J137" s="10">
        <v>17.87576579961599</v>
      </c>
      <c r="K137" s="11"/>
      <c r="L137" s="12"/>
      <c r="M137" s="9">
        <v>1.5381322419677605</v>
      </c>
    </row>
    <row r="138">
      <c r="A138" s="10" t="s">
        <v>24</v>
      </c>
      <c r="B138" s="10" t="s">
        <v>11</v>
      </c>
      <c r="C138" s="10" t="s">
        <v>12</v>
      </c>
      <c r="D138" s="10" t="s">
        <v>28</v>
      </c>
      <c r="E138" s="10" t="s">
        <v>29</v>
      </c>
      <c r="F138" s="10">
        <v>220.0</v>
      </c>
      <c r="G138" s="10" t="str">
        <f>IFERROR(VLOOKUP(C138&amp;D138&amp;E138&amp;F138,productID!$A$2:$B$7,2,FALSE))</f>
        <v/>
      </c>
      <c r="H138" s="10">
        <v>2022.0</v>
      </c>
      <c r="I138" s="10" t="s">
        <v>51</v>
      </c>
      <c r="J138" s="10">
        <v>1.2145658463199434E-4</v>
      </c>
      <c r="K138" s="11"/>
      <c r="L138" s="12"/>
      <c r="M138" s="9">
        <v>1.3564780703892742E-5</v>
      </c>
    </row>
    <row r="139">
      <c r="A139" s="10" t="s">
        <v>24</v>
      </c>
      <c r="B139" s="10" t="s">
        <v>11</v>
      </c>
      <c r="C139" s="10" t="s">
        <v>12</v>
      </c>
      <c r="D139" s="10" t="s">
        <v>28</v>
      </c>
      <c r="E139" s="10" t="s">
        <v>29</v>
      </c>
      <c r="F139" s="10">
        <v>220.0</v>
      </c>
      <c r="G139" s="10" t="str">
        <f>IFERROR(VLOOKUP(C139&amp;D139&amp;E139&amp;F139,productID!$A$2:$B$7,2,FALSE))</f>
        <v/>
      </c>
      <c r="H139" s="10">
        <v>2022.0</v>
      </c>
      <c r="I139" s="10" t="s">
        <v>52</v>
      </c>
      <c r="J139" s="10">
        <v>2.519145819898038E-4</v>
      </c>
      <c r="K139" s="11"/>
      <c r="L139" s="12"/>
      <c r="M139" s="9">
        <v>2.689403992633446E-5</v>
      </c>
    </row>
    <row r="140">
      <c r="A140" s="10" t="s">
        <v>24</v>
      </c>
      <c r="B140" s="10" t="s">
        <v>11</v>
      </c>
      <c r="C140" s="10" t="s">
        <v>12</v>
      </c>
      <c r="D140" s="10" t="s">
        <v>28</v>
      </c>
      <c r="E140" s="10" t="s">
        <v>29</v>
      </c>
      <c r="F140" s="10">
        <v>220.0</v>
      </c>
      <c r="G140" s="10" t="str">
        <f>IFERROR(VLOOKUP(C140&amp;D140&amp;E140&amp;F140,productID!$A$2:$B$7,2,FALSE))</f>
        <v/>
      </c>
      <c r="H140" s="10">
        <v>2022.0</v>
      </c>
      <c r="I140" s="10" t="s">
        <v>53</v>
      </c>
      <c r="J140" s="10">
        <v>0.4060556087020484</v>
      </c>
      <c r="K140" s="11"/>
      <c r="L140" s="12"/>
      <c r="M140" s="9">
        <v>0.042192920116087176</v>
      </c>
    </row>
    <row r="141">
      <c r="A141" s="10" t="s">
        <v>24</v>
      </c>
      <c r="B141" s="10" t="s">
        <v>11</v>
      </c>
      <c r="C141" s="10" t="s">
        <v>12</v>
      </c>
      <c r="D141" s="10" t="s">
        <v>28</v>
      </c>
      <c r="E141" s="10" t="s">
        <v>29</v>
      </c>
      <c r="F141" s="10">
        <v>220.0</v>
      </c>
      <c r="G141" s="10" t="str">
        <f>IFERROR(VLOOKUP(C141&amp;D141&amp;E141&amp;F141,productID!$A$2:$B$7,2,FALSE))</f>
        <v/>
      </c>
      <c r="H141" s="10">
        <v>2022.0</v>
      </c>
      <c r="I141" s="10" t="s">
        <v>54</v>
      </c>
      <c r="J141" s="10">
        <v>3.6349843798908226</v>
      </c>
      <c r="K141" s="11"/>
      <c r="L141" s="12"/>
      <c r="M141" s="9">
        <v>0.390227100550007</v>
      </c>
    </row>
    <row r="142">
      <c r="A142" s="10" t="s">
        <v>24</v>
      </c>
      <c r="B142" s="10" t="s">
        <v>11</v>
      </c>
      <c r="C142" s="10" t="s">
        <v>12</v>
      </c>
      <c r="D142" s="10" t="s">
        <v>28</v>
      </c>
      <c r="E142" s="10" t="s">
        <v>29</v>
      </c>
      <c r="F142" s="10">
        <v>220.0</v>
      </c>
      <c r="G142" s="10" t="str">
        <f>IFERROR(VLOOKUP(C142&amp;D142&amp;E142&amp;F142,productID!$A$2:$B$7,2,FALSE))</f>
        <v/>
      </c>
      <c r="H142" s="10">
        <v>2023.0</v>
      </c>
      <c r="I142" s="10" t="s">
        <v>51</v>
      </c>
      <c r="J142" s="10">
        <v>5.052331763654357</v>
      </c>
      <c r="K142" s="11"/>
      <c r="L142" s="12"/>
      <c r="M142" s="9">
        <v>0.5283418392053992</v>
      </c>
    </row>
    <row r="143">
      <c r="A143" s="10" t="s">
        <v>24</v>
      </c>
      <c r="B143" s="10" t="s">
        <v>11</v>
      </c>
      <c r="C143" s="10" t="s">
        <v>12</v>
      </c>
      <c r="D143" s="10" t="s">
        <v>28</v>
      </c>
      <c r="E143" s="10" t="s">
        <v>29</v>
      </c>
      <c r="F143" s="10">
        <v>220.0</v>
      </c>
      <c r="G143" s="10" t="str">
        <f>IFERROR(VLOOKUP(C143&amp;D143&amp;E143&amp;F143,productID!$A$2:$B$7,2,FALSE))</f>
        <v/>
      </c>
      <c r="H143" s="10">
        <v>2023.0</v>
      </c>
      <c r="I143" s="10" t="s">
        <v>52</v>
      </c>
      <c r="J143" s="10">
        <v>6.218694039281243</v>
      </c>
      <c r="K143" s="11"/>
      <c r="L143" s="12"/>
      <c r="M143" s="9">
        <v>0.6417869728641449</v>
      </c>
    </row>
    <row r="144">
      <c r="A144" s="10" t="s">
        <v>24</v>
      </c>
      <c r="B144" s="10" t="s">
        <v>11</v>
      </c>
      <c r="C144" s="10" t="s">
        <v>12</v>
      </c>
      <c r="D144" s="10" t="s">
        <v>28</v>
      </c>
      <c r="E144" s="10" t="s">
        <v>29</v>
      </c>
      <c r="F144" s="10">
        <v>220.0</v>
      </c>
      <c r="G144" s="10" t="str">
        <f>IFERROR(VLOOKUP(C144&amp;D144&amp;E144&amp;F144,productID!$A$2:$B$7,2,FALSE))</f>
        <v/>
      </c>
      <c r="H144" s="10">
        <v>2023.0</v>
      </c>
      <c r="I144" s="10" t="s">
        <v>53</v>
      </c>
      <c r="J144" s="10">
        <v>5.811799574001349</v>
      </c>
      <c r="K144" s="11"/>
      <c r="L144" s="12"/>
      <c r="M144" s="9">
        <v>0.6384109987401674</v>
      </c>
    </row>
    <row r="145">
      <c r="A145" s="10" t="s">
        <v>24</v>
      </c>
      <c r="B145" s="10" t="s">
        <v>11</v>
      </c>
      <c r="C145" s="10" t="s">
        <v>12</v>
      </c>
      <c r="D145" s="10" t="s">
        <v>28</v>
      </c>
      <c r="E145" s="10" t="s">
        <v>29</v>
      </c>
      <c r="F145" s="10">
        <v>220.0</v>
      </c>
      <c r="G145" s="10" t="str">
        <f>IFERROR(VLOOKUP(C145&amp;D145&amp;E145&amp;F145,productID!$A$2:$B$7,2,FALSE))</f>
        <v/>
      </c>
      <c r="H145" s="10">
        <v>2023.0</v>
      </c>
      <c r="I145" s="10" t="s">
        <v>54</v>
      </c>
      <c r="J145" s="10">
        <v>4.568926396197582</v>
      </c>
      <c r="K145" s="11"/>
      <c r="L145" s="12"/>
      <c r="M145" s="9">
        <v>0.5794101129868668</v>
      </c>
    </row>
    <row r="146">
      <c r="A146" s="10" t="s">
        <v>25</v>
      </c>
      <c r="B146" s="10" t="s">
        <v>11</v>
      </c>
      <c r="C146" s="10" t="s">
        <v>12</v>
      </c>
      <c r="D146" s="10" t="s">
        <v>28</v>
      </c>
      <c r="E146" s="10" t="s">
        <v>29</v>
      </c>
      <c r="F146" s="10">
        <v>220.0</v>
      </c>
      <c r="G146" s="10" t="str">
        <f>IFERROR(VLOOKUP(C146&amp;D146&amp;E146&amp;F146,productID!$A$2:$B$7,2,FALSE))</f>
        <v/>
      </c>
      <c r="H146" s="10">
        <v>2022.0</v>
      </c>
      <c r="I146" s="10" t="s">
        <v>51</v>
      </c>
      <c r="J146" s="10">
        <v>12.112055955029694</v>
      </c>
      <c r="K146" s="11"/>
      <c r="L146" s="12"/>
      <c r="M146" s="9">
        <v>1.2394107757142718</v>
      </c>
    </row>
    <row r="147">
      <c r="A147" s="10" t="s">
        <v>25</v>
      </c>
      <c r="B147" s="10" t="s">
        <v>11</v>
      </c>
      <c r="C147" s="10" t="s">
        <v>12</v>
      </c>
      <c r="D147" s="10" t="s">
        <v>28</v>
      </c>
      <c r="E147" s="10" t="s">
        <v>29</v>
      </c>
      <c r="F147" s="10">
        <v>220.0</v>
      </c>
      <c r="G147" s="10" t="str">
        <f>IFERROR(VLOOKUP(C147&amp;D147&amp;E147&amp;F147,productID!$A$2:$B$7,2,FALSE))</f>
        <v/>
      </c>
      <c r="H147" s="10">
        <v>2022.0</v>
      </c>
      <c r="I147" s="10" t="s">
        <v>52</v>
      </c>
      <c r="J147" s="10">
        <v>11.369842215638272</v>
      </c>
      <c r="K147" s="11"/>
      <c r="L147" s="12"/>
      <c r="M147" s="9">
        <v>1.1532113501418884</v>
      </c>
    </row>
    <row r="148">
      <c r="A148" s="10" t="s">
        <v>25</v>
      </c>
      <c r="B148" s="10" t="s">
        <v>11</v>
      </c>
      <c r="C148" s="10" t="s">
        <v>12</v>
      </c>
      <c r="D148" s="10" t="s">
        <v>28</v>
      </c>
      <c r="E148" s="10" t="s">
        <v>29</v>
      </c>
      <c r="F148" s="10">
        <v>220.0</v>
      </c>
      <c r="G148" s="10" t="str">
        <f>IFERROR(VLOOKUP(C148&amp;D148&amp;E148&amp;F148,productID!$A$2:$B$7,2,FALSE))</f>
        <v/>
      </c>
      <c r="H148" s="10">
        <v>2022.0</v>
      </c>
      <c r="I148" s="10" t="s">
        <v>53</v>
      </c>
      <c r="J148" s="10">
        <v>10.739280509761395</v>
      </c>
      <c r="K148" s="11"/>
      <c r="L148" s="12"/>
      <c r="M148" s="9">
        <v>1.0474494446945657</v>
      </c>
    </row>
    <row r="149">
      <c r="A149" s="10" t="s">
        <v>25</v>
      </c>
      <c r="B149" s="10" t="s">
        <v>11</v>
      </c>
      <c r="C149" s="10" t="s">
        <v>12</v>
      </c>
      <c r="D149" s="10" t="s">
        <v>28</v>
      </c>
      <c r="E149" s="10" t="s">
        <v>29</v>
      </c>
      <c r="F149" s="10">
        <v>220.0</v>
      </c>
      <c r="G149" s="10" t="str">
        <f>IFERROR(VLOOKUP(C149&amp;D149&amp;E149&amp;F149,productID!$A$2:$B$7,2,FALSE))</f>
        <v/>
      </c>
      <c r="H149" s="10">
        <v>2022.0</v>
      </c>
      <c r="I149" s="10" t="s">
        <v>54</v>
      </c>
      <c r="J149" s="10">
        <v>11.876126260059282</v>
      </c>
      <c r="K149" s="11"/>
      <c r="L149" s="12"/>
      <c r="M149" s="9">
        <v>1.1426235114465162</v>
      </c>
    </row>
    <row r="150">
      <c r="A150" s="10" t="s">
        <v>25</v>
      </c>
      <c r="B150" s="10" t="s">
        <v>11</v>
      </c>
      <c r="C150" s="10" t="s">
        <v>12</v>
      </c>
      <c r="D150" s="10" t="s">
        <v>28</v>
      </c>
      <c r="E150" s="10" t="s">
        <v>29</v>
      </c>
      <c r="F150" s="10">
        <v>220.0</v>
      </c>
      <c r="G150" s="10" t="str">
        <f>IFERROR(VLOOKUP(C150&amp;D150&amp;E150&amp;F150,productID!$A$2:$B$7,2,FALSE))</f>
        <v/>
      </c>
      <c r="H150" s="10">
        <v>2023.0</v>
      </c>
      <c r="I150" s="10" t="s">
        <v>51</v>
      </c>
      <c r="J150" s="10">
        <v>13.470715447381167</v>
      </c>
      <c r="K150" s="11"/>
      <c r="L150" s="12"/>
      <c r="M150" s="9">
        <v>1.2266842780319558</v>
      </c>
    </row>
    <row r="151">
      <c r="A151" s="10" t="s">
        <v>25</v>
      </c>
      <c r="B151" s="10" t="s">
        <v>11</v>
      </c>
      <c r="C151" s="10" t="s">
        <v>12</v>
      </c>
      <c r="D151" s="10" t="s">
        <v>28</v>
      </c>
      <c r="E151" s="10" t="s">
        <v>29</v>
      </c>
      <c r="F151" s="10">
        <v>220.0</v>
      </c>
      <c r="G151" s="10" t="str">
        <f>IFERROR(VLOOKUP(C151&amp;D151&amp;E151&amp;F151,productID!$A$2:$B$7,2,FALSE))</f>
        <v/>
      </c>
      <c r="H151" s="10">
        <v>2023.0</v>
      </c>
      <c r="I151" s="10" t="s">
        <v>52</v>
      </c>
      <c r="J151" s="10">
        <v>14.434903153051334</v>
      </c>
      <c r="K151" s="11"/>
      <c r="L151" s="12"/>
      <c r="M151" s="9">
        <v>1.296050453704693</v>
      </c>
    </row>
    <row r="152">
      <c r="A152" s="10" t="s">
        <v>25</v>
      </c>
      <c r="B152" s="10" t="s">
        <v>11</v>
      </c>
      <c r="C152" s="10" t="s">
        <v>12</v>
      </c>
      <c r="D152" s="10" t="s">
        <v>28</v>
      </c>
      <c r="E152" s="10" t="s">
        <v>29</v>
      </c>
      <c r="F152" s="10">
        <v>220.0</v>
      </c>
      <c r="G152" s="10" t="str">
        <f>IFERROR(VLOOKUP(C152&amp;D152&amp;E152&amp;F152,productID!$A$2:$B$7,2,FALSE))</f>
        <v/>
      </c>
      <c r="H152" s="10">
        <v>2023.0</v>
      </c>
      <c r="I152" s="10" t="s">
        <v>53</v>
      </c>
      <c r="J152" s="10">
        <v>14.065077272427043</v>
      </c>
      <c r="K152" s="11"/>
      <c r="L152" s="12"/>
      <c r="M152" s="9">
        <v>1.3404861213362502</v>
      </c>
    </row>
    <row r="153">
      <c r="A153" s="10" t="s">
        <v>25</v>
      </c>
      <c r="B153" s="10" t="s">
        <v>11</v>
      </c>
      <c r="C153" s="10" t="s">
        <v>12</v>
      </c>
      <c r="D153" s="10" t="s">
        <v>28</v>
      </c>
      <c r="E153" s="10" t="s">
        <v>29</v>
      </c>
      <c r="F153" s="10">
        <v>220.0</v>
      </c>
      <c r="G153" s="10" t="str">
        <f>IFERROR(VLOOKUP(C153&amp;D153&amp;E153&amp;F153,productID!$A$2:$B$7,2,FALSE))</f>
        <v/>
      </c>
      <c r="H153" s="10">
        <v>2023.0</v>
      </c>
      <c r="I153" s="10" t="s">
        <v>54</v>
      </c>
      <c r="J153" s="10">
        <v>12.032992857227287</v>
      </c>
      <c r="K153" s="11"/>
      <c r="L153" s="12"/>
      <c r="M153" s="9">
        <v>1.2247265821566973</v>
      </c>
    </row>
    <row r="154">
      <c r="A154" s="10" t="s">
        <v>26</v>
      </c>
      <c r="B154" s="10" t="s">
        <v>11</v>
      </c>
      <c r="C154" s="10" t="s">
        <v>12</v>
      </c>
      <c r="D154" s="10" t="s">
        <v>28</v>
      </c>
      <c r="E154" s="10" t="s">
        <v>29</v>
      </c>
      <c r="F154" s="10">
        <v>220.0</v>
      </c>
      <c r="G154" s="10" t="str">
        <f>IFERROR(VLOOKUP(C154&amp;D154&amp;E154&amp;F154,productID!$A$2:$B$7,2,FALSE))</f>
        <v/>
      </c>
      <c r="H154" s="10">
        <v>2022.0</v>
      </c>
      <c r="I154" s="10" t="s">
        <v>51</v>
      </c>
      <c r="J154" s="10">
        <v>47.91185915715014</v>
      </c>
      <c r="K154" s="11"/>
      <c r="L154" s="12"/>
      <c r="M154" s="9">
        <v>2.319390376310219</v>
      </c>
    </row>
    <row r="155">
      <c r="A155" s="10" t="s">
        <v>26</v>
      </c>
      <c r="B155" s="10" t="s">
        <v>11</v>
      </c>
      <c r="C155" s="10" t="s">
        <v>12</v>
      </c>
      <c r="D155" s="10" t="s">
        <v>28</v>
      </c>
      <c r="E155" s="10" t="s">
        <v>29</v>
      </c>
      <c r="F155" s="10">
        <v>220.0</v>
      </c>
      <c r="G155" s="10" t="str">
        <f>IFERROR(VLOOKUP(C155&amp;D155&amp;E155&amp;F155,productID!$A$2:$B$7,2,FALSE))</f>
        <v/>
      </c>
      <c r="H155" s="10">
        <v>2022.0</v>
      </c>
      <c r="I155" s="10" t="s">
        <v>52</v>
      </c>
      <c r="J155" s="10">
        <v>52.975066425862046</v>
      </c>
      <c r="K155" s="11"/>
      <c r="L155" s="12"/>
      <c r="M155" s="9">
        <v>2.5226554075550833</v>
      </c>
    </row>
    <row r="156">
      <c r="A156" s="10" t="s">
        <v>26</v>
      </c>
      <c r="B156" s="10" t="s">
        <v>11</v>
      </c>
      <c r="C156" s="10" t="s">
        <v>12</v>
      </c>
      <c r="D156" s="10" t="s">
        <v>28</v>
      </c>
      <c r="E156" s="10" t="s">
        <v>29</v>
      </c>
      <c r="F156" s="10">
        <v>220.0</v>
      </c>
      <c r="G156" s="10" t="str">
        <f>IFERROR(VLOOKUP(C156&amp;D156&amp;E156&amp;F156,productID!$A$2:$B$7,2,FALSE))</f>
        <v/>
      </c>
      <c r="H156" s="10">
        <v>2022.0</v>
      </c>
      <c r="I156" s="10" t="s">
        <v>53</v>
      </c>
      <c r="J156" s="10">
        <v>51.179819543496066</v>
      </c>
      <c r="K156" s="11"/>
      <c r="L156" s="12"/>
      <c r="M156" s="9">
        <v>2.443549611324449</v>
      </c>
    </row>
    <row r="157">
      <c r="A157" s="10" t="s">
        <v>26</v>
      </c>
      <c r="B157" s="10" t="s">
        <v>11</v>
      </c>
      <c r="C157" s="10" t="s">
        <v>12</v>
      </c>
      <c r="D157" s="10" t="s">
        <v>28</v>
      </c>
      <c r="E157" s="10" t="s">
        <v>29</v>
      </c>
      <c r="F157" s="10">
        <v>220.0</v>
      </c>
      <c r="G157" s="10" t="str">
        <f>IFERROR(VLOOKUP(C157&amp;D157&amp;E157&amp;F157,productID!$A$2:$B$7,2,FALSE))</f>
        <v/>
      </c>
      <c r="H157" s="10">
        <v>2022.0</v>
      </c>
      <c r="I157" s="10" t="s">
        <v>54</v>
      </c>
      <c r="J157" s="10">
        <v>55.20377034241613</v>
      </c>
      <c r="K157" s="11"/>
      <c r="L157" s="12"/>
      <c r="M157" s="9">
        <v>2.5858689832815314</v>
      </c>
    </row>
    <row r="158">
      <c r="A158" s="10" t="s">
        <v>26</v>
      </c>
      <c r="B158" s="10" t="s">
        <v>11</v>
      </c>
      <c r="C158" s="10" t="s">
        <v>12</v>
      </c>
      <c r="D158" s="10" t="s">
        <v>28</v>
      </c>
      <c r="E158" s="10" t="s">
        <v>29</v>
      </c>
      <c r="F158" s="10">
        <v>220.0</v>
      </c>
      <c r="G158" s="10" t="str">
        <f>IFERROR(VLOOKUP(C158&amp;D158&amp;E158&amp;F158,productID!$A$2:$B$7,2,FALSE))</f>
        <v/>
      </c>
      <c r="H158" s="10">
        <v>2023.0</v>
      </c>
      <c r="I158" s="10" t="s">
        <v>51</v>
      </c>
      <c r="J158" s="10">
        <v>52.66279376956652</v>
      </c>
      <c r="K158" s="11"/>
      <c r="L158" s="12"/>
      <c r="M158" s="9">
        <v>2.4424650997679405</v>
      </c>
    </row>
    <row r="159">
      <c r="A159" s="10" t="s">
        <v>26</v>
      </c>
      <c r="B159" s="10" t="s">
        <v>11</v>
      </c>
      <c r="C159" s="10" t="s">
        <v>12</v>
      </c>
      <c r="D159" s="10" t="s">
        <v>28</v>
      </c>
      <c r="E159" s="10" t="s">
        <v>29</v>
      </c>
      <c r="F159" s="10">
        <v>220.0</v>
      </c>
      <c r="G159" s="10" t="str">
        <f>IFERROR(VLOOKUP(C159&amp;D159&amp;E159&amp;F159,productID!$A$2:$B$7,2,FALSE))</f>
        <v/>
      </c>
      <c r="H159" s="10">
        <v>2023.0</v>
      </c>
      <c r="I159" s="10" t="s">
        <v>52</v>
      </c>
      <c r="J159" s="10">
        <v>51.699989191508465</v>
      </c>
      <c r="K159" s="11"/>
      <c r="L159" s="12"/>
      <c r="M159" s="9">
        <v>2.32017721119468</v>
      </c>
    </row>
    <row r="160">
      <c r="A160" s="10" t="s">
        <v>26</v>
      </c>
      <c r="B160" s="10" t="s">
        <v>11</v>
      </c>
      <c r="C160" s="10" t="s">
        <v>12</v>
      </c>
      <c r="D160" s="10" t="s">
        <v>28</v>
      </c>
      <c r="E160" s="10" t="s">
        <v>29</v>
      </c>
      <c r="F160" s="10">
        <v>220.0</v>
      </c>
      <c r="G160" s="10" t="str">
        <f>IFERROR(VLOOKUP(C160&amp;D160&amp;E160&amp;F160,productID!$A$2:$B$7,2,FALSE))</f>
        <v/>
      </c>
      <c r="H160" s="10">
        <v>2023.0</v>
      </c>
      <c r="I160" s="10" t="s">
        <v>53</v>
      </c>
      <c r="J160" s="10">
        <v>54.42089951144519</v>
      </c>
      <c r="K160" s="11"/>
      <c r="L160" s="12"/>
      <c r="M160" s="9">
        <v>2.4971962924160134</v>
      </c>
    </row>
    <row r="161">
      <c r="A161" s="10" t="s">
        <v>26</v>
      </c>
      <c r="B161" s="10" t="s">
        <v>11</v>
      </c>
      <c r="C161" s="10" t="s">
        <v>12</v>
      </c>
      <c r="D161" s="10" t="s">
        <v>28</v>
      </c>
      <c r="E161" s="10" t="s">
        <v>29</v>
      </c>
      <c r="F161" s="10">
        <v>220.0</v>
      </c>
      <c r="G161" s="10" t="str">
        <f>IFERROR(VLOOKUP(C161&amp;D161&amp;E161&amp;F161,productID!$A$2:$B$7,2,FALSE))</f>
        <v/>
      </c>
      <c r="H161" s="10">
        <v>2023.0</v>
      </c>
      <c r="I161" s="10" t="s">
        <v>54</v>
      </c>
      <c r="J161" s="10">
        <v>51.901667924588885</v>
      </c>
      <c r="K161" s="11"/>
      <c r="L161" s="12"/>
      <c r="M161" s="9">
        <v>2.4682411602524232</v>
      </c>
    </row>
    <row r="162">
      <c r="A162" s="10" t="s">
        <v>10</v>
      </c>
      <c r="B162" s="10" t="s">
        <v>11</v>
      </c>
      <c r="C162" s="10" t="s">
        <v>12</v>
      </c>
      <c r="D162" s="10" t="s">
        <v>30</v>
      </c>
      <c r="E162" s="10" t="s">
        <v>29</v>
      </c>
      <c r="F162" s="10">
        <v>220.0</v>
      </c>
      <c r="G162" s="10" t="str">
        <f>IFERROR(VLOOKUP(C162&amp;D162&amp;E162&amp;F162,productID!$A$2:$B$7,2,FALSE))</f>
        <v/>
      </c>
      <c r="H162" s="10">
        <v>2022.0</v>
      </c>
      <c r="I162" s="10" t="s">
        <v>51</v>
      </c>
      <c r="J162" s="10">
        <v>50.7531560289479</v>
      </c>
      <c r="K162" s="11"/>
      <c r="L162" s="12"/>
      <c r="M162" s="9">
        <v>4.447906011556349</v>
      </c>
    </row>
    <row r="163">
      <c r="A163" s="10" t="s">
        <v>10</v>
      </c>
      <c r="B163" s="10" t="s">
        <v>11</v>
      </c>
      <c r="C163" s="10" t="s">
        <v>12</v>
      </c>
      <c r="D163" s="10" t="s">
        <v>30</v>
      </c>
      <c r="E163" s="10" t="s">
        <v>29</v>
      </c>
      <c r="F163" s="10">
        <v>220.0</v>
      </c>
      <c r="G163" s="10" t="str">
        <f>IFERROR(VLOOKUP(C163&amp;D163&amp;E163&amp;F163,productID!$A$2:$B$7,2,FALSE))</f>
        <v/>
      </c>
      <c r="H163" s="10">
        <v>2022.0</v>
      </c>
      <c r="I163" s="10" t="s">
        <v>52</v>
      </c>
      <c r="J163" s="10">
        <v>48.14018040238753</v>
      </c>
      <c r="K163" s="11"/>
      <c r="L163" s="12"/>
      <c r="M163" s="9">
        <v>4.201481346390523</v>
      </c>
    </row>
    <row r="164">
      <c r="A164" s="10" t="s">
        <v>10</v>
      </c>
      <c r="B164" s="10" t="s">
        <v>11</v>
      </c>
      <c r="C164" s="10" t="s">
        <v>12</v>
      </c>
      <c r="D164" s="10" t="s">
        <v>30</v>
      </c>
      <c r="E164" s="10" t="s">
        <v>29</v>
      </c>
      <c r="F164" s="10">
        <v>220.0</v>
      </c>
      <c r="G164" s="10" t="str">
        <f>IFERROR(VLOOKUP(C164&amp;D164&amp;E164&amp;F164,productID!$A$2:$B$7,2,FALSE))</f>
        <v/>
      </c>
      <c r="H164" s="10">
        <v>2022.0</v>
      </c>
      <c r="I164" s="10" t="s">
        <v>53</v>
      </c>
      <c r="J164" s="10">
        <v>46.331366582313706</v>
      </c>
      <c r="K164" s="11"/>
      <c r="L164" s="12"/>
      <c r="M164" s="9">
        <v>4.049888640867243</v>
      </c>
    </row>
    <row r="165">
      <c r="A165" s="10" t="s">
        <v>10</v>
      </c>
      <c r="B165" s="10" t="s">
        <v>11</v>
      </c>
      <c r="C165" s="10" t="s">
        <v>12</v>
      </c>
      <c r="D165" s="10" t="s">
        <v>30</v>
      </c>
      <c r="E165" s="10" t="s">
        <v>29</v>
      </c>
      <c r="F165" s="10">
        <v>220.0</v>
      </c>
      <c r="G165" s="10" t="str">
        <f>IFERROR(VLOOKUP(C165&amp;D165&amp;E165&amp;F165,productID!$A$2:$B$7,2,FALSE))</f>
        <v/>
      </c>
      <c r="H165" s="10">
        <v>2022.0</v>
      </c>
      <c r="I165" s="10" t="s">
        <v>54</v>
      </c>
      <c r="J165" s="10">
        <v>50.76052504444712</v>
      </c>
      <c r="K165" s="11"/>
      <c r="L165" s="12"/>
      <c r="M165" s="9">
        <v>4.596797116708539</v>
      </c>
    </row>
    <row r="166">
      <c r="A166" s="10" t="s">
        <v>10</v>
      </c>
      <c r="B166" s="10" t="s">
        <v>11</v>
      </c>
      <c r="C166" s="10" t="s">
        <v>12</v>
      </c>
      <c r="D166" s="10" t="s">
        <v>30</v>
      </c>
      <c r="E166" s="10" t="s">
        <v>29</v>
      </c>
      <c r="F166" s="10">
        <v>220.0</v>
      </c>
      <c r="G166" s="10" t="str">
        <f>IFERROR(VLOOKUP(C166&amp;D166&amp;E166&amp;F166,productID!$A$2:$B$7,2,FALSE))</f>
        <v/>
      </c>
      <c r="H166" s="10">
        <v>2023.0</v>
      </c>
      <c r="I166" s="10" t="s">
        <v>51</v>
      </c>
      <c r="J166" s="10">
        <v>55.46080523158844</v>
      </c>
      <c r="K166" s="11"/>
      <c r="L166" s="12"/>
      <c r="M166" s="9">
        <v>4.702652263852253</v>
      </c>
    </row>
    <row r="167">
      <c r="A167" s="10" t="s">
        <v>10</v>
      </c>
      <c r="B167" s="10" t="s">
        <v>11</v>
      </c>
      <c r="C167" s="10" t="s">
        <v>12</v>
      </c>
      <c r="D167" s="10" t="s">
        <v>30</v>
      </c>
      <c r="E167" s="10" t="s">
        <v>29</v>
      </c>
      <c r="F167" s="10">
        <v>220.0</v>
      </c>
      <c r="G167" s="10" t="str">
        <f>IFERROR(VLOOKUP(C167&amp;D167&amp;E167&amp;F167,productID!$A$2:$B$7,2,FALSE))</f>
        <v/>
      </c>
      <c r="H167" s="10">
        <v>2023.0</v>
      </c>
      <c r="I167" s="10" t="s">
        <v>52</v>
      </c>
      <c r="J167" s="10">
        <v>59.14384035449294</v>
      </c>
      <c r="K167" s="11"/>
      <c r="L167" s="12"/>
      <c r="M167" s="9">
        <v>4.674019129478146</v>
      </c>
    </row>
    <row r="168">
      <c r="A168" s="10" t="s">
        <v>10</v>
      </c>
      <c r="B168" s="10" t="s">
        <v>11</v>
      </c>
      <c r="C168" s="10" t="s">
        <v>12</v>
      </c>
      <c r="D168" s="10" t="s">
        <v>30</v>
      </c>
      <c r="E168" s="10" t="s">
        <v>29</v>
      </c>
      <c r="F168" s="10">
        <v>220.0</v>
      </c>
      <c r="G168" s="10" t="str">
        <f>IFERROR(VLOOKUP(C168&amp;D168&amp;E168&amp;F168,productID!$A$2:$B$7,2,FALSE))</f>
        <v/>
      </c>
      <c r="H168" s="10">
        <v>2023.0</v>
      </c>
      <c r="I168" s="10" t="s">
        <v>53</v>
      </c>
      <c r="J168" s="10">
        <v>58.42731620111539</v>
      </c>
      <c r="K168" s="11"/>
      <c r="L168" s="12"/>
      <c r="M168" s="9">
        <v>4.7328500336643815</v>
      </c>
    </row>
    <row r="169">
      <c r="A169" s="10" t="s">
        <v>10</v>
      </c>
      <c r="B169" s="10" t="s">
        <v>11</v>
      </c>
      <c r="C169" s="10" t="s">
        <v>12</v>
      </c>
      <c r="D169" s="10" t="s">
        <v>30</v>
      </c>
      <c r="E169" s="10" t="s">
        <v>29</v>
      </c>
      <c r="F169" s="10">
        <v>220.0</v>
      </c>
      <c r="G169" s="10" t="str">
        <f>IFERROR(VLOOKUP(C169&amp;D169&amp;E169&amp;F169,productID!$A$2:$B$7,2,FALSE))</f>
        <v/>
      </c>
      <c r="H169" s="10">
        <v>2023.0</v>
      </c>
      <c r="I169" s="10" t="s">
        <v>54</v>
      </c>
      <c r="J169" s="10">
        <v>53.92013412041723</v>
      </c>
      <c r="K169" s="11"/>
      <c r="L169" s="12"/>
      <c r="M169" s="9">
        <v>4.6395940577617845</v>
      </c>
    </row>
    <row r="170">
      <c r="A170" s="10" t="s">
        <v>24</v>
      </c>
      <c r="B170" s="10" t="s">
        <v>11</v>
      </c>
      <c r="C170" s="10" t="s">
        <v>12</v>
      </c>
      <c r="D170" s="10" t="s">
        <v>30</v>
      </c>
      <c r="E170" s="10" t="s">
        <v>29</v>
      </c>
      <c r="F170" s="10">
        <v>220.0</v>
      </c>
      <c r="G170" s="10" t="str">
        <f>IFERROR(VLOOKUP(C170&amp;D170&amp;E170&amp;F170,productID!$A$2:$B$7,2,FALSE))</f>
        <v/>
      </c>
      <c r="H170" s="10">
        <v>2022.0</v>
      </c>
      <c r="I170" s="10" t="s">
        <v>52</v>
      </c>
      <c r="J170" s="10">
        <v>0.011787438753596523</v>
      </c>
      <c r="K170" s="11"/>
      <c r="L170" s="12"/>
      <c r="M170" s="9">
        <v>0.001258410076798484</v>
      </c>
    </row>
    <row r="171">
      <c r="A171" s="10" t="s">
        <v>24</v>
      </c>
      <c r="B171" s="10" t="s">
        <v>11</v>
      </c>
      <c r="C171" s="10" t="s">
        <v>12</v>
      </c>
      <c r="D171" s="10" t="s">
        <v>30</v>
      </c>
      <c r="E171" s="10" t="s">
        <v>29</v>
      </c>
      <c r="F171" s="10">
        <v>220.0</v>
      </c>
      <c r="G171" s="10" t="str">
        <f>IFERROR(VLOOKUP(C171&amp;D171&amp;E171&amp;F171,productID!$A$2:$B$7,2,FALSE))</f>
        <v/>
      </c>
      <c r="H171" s="10">
        <v>2022.0</v>
      </c>
      <c r="I171" s="10" t="s">
        <v>53</v>
      </c>
      <c r="J171" s="10">
        <v>3.3368385378502596</v>
      </c>
      <c r="K171" s="11"/>
      <c r="L171" s="12"/>
      <c r="M171" s="9">
        <v>0.34672827772982545</v>
      </c>
    </row>
    <row r="172">
      <c r="A172" s="10" t="s">
        <v>24</v>
      </c>
      <c r="B172" s="10" t="s">
        <v>11</v>
      </c>
      <c r="C172" s="10" t="s">
        <v>12</v>
      </c>
      <c r="D172" s="10" t="s">
        <v>30</v>
      </c>
      <c r="E172" s="10" t="s">
        <v>29</v>
      </c>
      <c r="F172" s="10">
        <v>220.0</v>
      </c>
      <c r="G172" s="10" t="str">
        <f>IFERROR(VLOOKUP(C172&amp;D172&amp;E172&amp;F172,productID!$A$2:$B$7,2,FALSE))</f>
        <v/>
      </c>
      <c r="H172" s="10">
        <v>2022.0</v>
      </c>
      <c r="I172" s="10" t="s">
        <v>54</v>
      </c>
      <c r="J172" s="10">
        <v>12.339100591224787</v>
      </c>
      <c r="K172" s="11"/>
      <c r="L172" s="12"/>
      <c r="M172" s="9">
        <v>1.3246415785844852</v>
      </c>
    </row>
    <row r="173">
      <c r="A173" s="10" t="s">
        <v>24</v>
      </c>
      <c r="B173" s="10" t="s">
        <v>11</v>
      </c>
      <c r="C173" s="10" t="s">
        <v>12</v>
      </c>
      <c r="D173" s="10" t="s">
        <v>30</v>
      </c>
      <c r="E173" s="10" t="s">
        <v>29</v>
      </c>
      <c r="F173" s="10">
        <v>220.0</v>
      </c>
      <c r="G173" s="10" t="str">
        <f>IFERROR(VLOOKUP(C173&amp;D173&amp;E173&amp;F173,productID!$A$2:$B$7,2,FALSE))</f>
        <v/>
      </c>
      <c r="H173" s="10">
        <v>2023.0</v>
      </c>
      <c r="I173" s="10" t="s">
        <v>51</v>
      </c>
      <c r="J173" s="10">
        <v>12.869792073787798</v>
      </c>
      <c r="K173" s="11"/>
      <c r="L173" s="12"/>
      <c r="M173" s="9">
        <v>1.3458438464733598</v>
      </c>
    </row>
    <row r="174">
      <c r="A174" s="10" t="s">
        <v>24</v>
      </c>
      <c r="B174" s="10" t="s">
        <v>11</v>
      </c>
      <c r="C174" s="10" t="s">
        <v>12</v>
      </c>
      <c r="D174" s="10" t="s">
        <v>30</v>
      </c>
      <c r="E174" s="10" t="s">
        <v>29</v>
      </c>
      <c r="F174" s="10">
        <v>220.0</v>
      </c>
      <c r="G174" s="10" t="str">
        <f>IFERROR(VLOOKUP(C174&amp;D174&amp;E174&amp;F174,productID!$A$2:$B$7,2,FALSE))</f>
        <v/>
      </c>
      <c r="H174" s="10">
        <v>2023.0</v>
      </c>
      <c r="I174" s="10" t="s">
        <v>52</v>
      </c>
      <c r="J174" s="10">
        <v>16.554209833253736</v>
      </c>
      <c r="K174" s="11"/>
      <c r="L174" s="12"/>
      <c r="M174" s="9">
        <v>1.7084417001274004</v>
      </c>
    </row>
    <row r="175">
      <c r="A175" s="10" t="s">
        <v>24</v>
      </c>
      <c r="B175" s="10" t="s">
        <v>11</v>
      </c>
      <c r="C175" s="10" t="s">
        <v>12</v>
      </c>
      <c r="D175" s="10" t="s">
        <v>30</v>
      </c>
      <c r="E175" s="10" t="s">
        <v>29</v>
      </c>
      <c r="F175" s="10">
        <v>220.0</v>
      </c>
      <c r="G175" s="10" t="str">
        <f>IFERROR(VLOOKUP(C175&amp;D175&amp;E175&amp;F175,productID!$A$2:$B$7,2,FALSE))</f>
        <v/>
      </c>
      <c r="H175" s="10">
        <v>2023.0</v>
      </c>
      <c r="I175" s="10" t="s">
        <v>53</v>
      </c>
      <c r="J175" s="10">
        <v>15.021359554161203</v>
      </c>
      <c r="K175" s="11"/>
      <c r="L175" s="12"/>
      <c r="M175" s="9">
        <v>1.6500571007827707</v>
      </c>
    </row>
    <row r="176">
      <c r="A176" s="10" t="s">
        <v>24</v>
      </c>
      <c r="B176" s="10" t="s">
        <v>11</v>
      </c>
      <c r="C176" s="10" t="s">
        <v>12</v>
      </c>
      <c r="D176" s="10" t="s">
        <v>30</v>
      </c>
      <c r="E176" s="10" t="s">
        <v>29</v>
      </c>
      <c r="F176" s="10">
        <v>220.0</v>
      </c>
      <c r="G176" s="10" t="str">
        <f>IFERROR(VLOOKUP(C176&amp;D176&amp;E176&amp;F176,productID!$A$2:$B$7,2,FALSE))</f>
        <v/>
      </c>
      <c r="H176" s="10">
        <v>2023.0</v>
      </c>
      <c r="I176" s="10" t="s">
        <v>54</v>
      </c>
      <c r="J176" s="10">
        <v>10.636643876043625</v>
      </c>
      <c r="K176" s="11"/>
      <c r="L176" s="12"/>
      <c r="M176" s="9">
        <v>1.348889978868678</v>
      </c>
    </row>
    <row r="177">
      <c r="A177" s="10" t="s">
        <v>25</v>
      </c>
      <c r="B177" s="10" t="s">
        <v>11</v>
      </c>
      <c r="C177" s="10" t="s">
        <v>12</v>
      </c>
      <c r="D177" s="10" t="s">
        <v>30</v>
      </c>
      <c r="E177" s="10" t="s">
        <v>29</v>
      </c>
      <c r="F177" s="10">
        <v>220.0</v>
      </c>
      <c r="G177" s="10" t="str">
        <f>IFERROR(VLOOKUP(C177&amp;D177&amp;E177&amp;F177,productID!$A$2:$B$7,2,FALSE))</f>
        <v/>
      </c>
      <c r="H177" s="10">
        <v>2022.0</v>
      </c>
      <c r="I177" s="10" t="s">
        <v>51</v>
      </c>
      <c r="J177" s="10">
        <v>43.476126617787145</v>
      </c>
      <c r="K177" s="11"/>
      <c r="L177" s="12"/>
      <c r="M177" s="9">
        <v>4.448854927393816</v>
      </c>
    </row>
    <row r="178">
      <c r="A178" s="10" t="s">
        <v>25</v>
      </c>
      <c r="B178" s="10" t="s">
        <v>11</v>
      </c>
      <c r="C178" s="10" t="s">
        <v>12</v>
      </c>
      <c r="D178" s="10" t="s">
        <v>30</v>
      </c>
      <c r="E178" s="10" t="s">
        <v>29</v>
      </c>
      <c r="F178" s="10">
        <v>220.0</v>
      </c>
      <c r="G178" s="10" t="str">
        <f>IFERROR(VLOOKUP(C178&amp;D178&amp;E178&amp;F178,productID!$A$2:$B$7,2,FALSE))</f>
        <v/>
      </c>
      <c r="H178" s="10">
        <v>2022.0</v>
      </c>
      <c r="I178" s="10" t="s">
        <v>52</v>
      </c>
      <c r="J178" s="10">
        <v>44.204324122302474</v>
      </c>
      <c r="K178" s="11"/>
      <c r="L178" s="12"/>
      <c r="M178" s="9">
        <v>4.4835211726223925</v>
      </c>
    </row>
    <row r="179">
      <c r="A179" s="10" t="s">
        <v>25</v>
      </c>
      <c r="B179" s="10" t="s">
        <v>11</v>
      </c>
      <c r="C179" s="10" t="s">
        <v>12</v>
      </c>
      <c r="D179" s="10" t="s">
        <v>30</v>
      </c>
      <c r="E179" s="10" t="s">
        <v>29</v>
      </c>
      <c r="F179" s="10">
        <v>220.0</v>
      </c>
      <c r="G179" s="10" t="str">
        <f>IFERROR(VLOOKUP(C179&amp;D179&amp;E179&amp;F179,productID!$A$2:$B$7,2,FALSE))</f>
        <v/>
      </c>
      <c r="H179" s="10">
        <v>2022.0</v>
      </c>
      <c r="I179" s="10" t="s">
        <v>53</v>
      </c>
      <c r="J179" s="10">
        <v>45.809038739747905</v>
      </c>
      <c r="K179" s="11"/>
      <c r="L179" s="12"/>
      <c r="M179" s="9">
        <v>4.467957806514812</v>
      </c>
    </row>
    <row r="180">
      <c r="A180" s="10" t="s">
        <v>25</v>
      </c>
      <c r="B180" s="10" t="s">
        <v>11</v>
      </c>
      <c r="C180" s="10" t="s">
        <v>12</v>
      </c>
      <c r="D180" s="10" t="s">
        <v>30</v>
      </c>
      <c r="E180" s="10" t="s">
        <v>29</v>
      </c>
      <c r="F180" s="10">
        <v>220.0</v>
      </c>
      <c r="G180" s="10" t="str">
        <f>IFERROR(VLOOKUP(C180&amp;D180&amp;E180&amp;F180,productID!$A$2:$B$7,2,FALSE))</f>
        <v/>
      </c>
      <c r="H180" s="10">
        <v>2022.0</v>
      </c>
      <c r="I180" s="10" t="s">
        <v>54</v>
      </c>
      <c r="J180" s="10">
        <v>49.0272521144764</v>
      </c>
      <c r="K180" s="11"/>
      <c r="L180" s="12"/>
      <c r="M180" s="9">
        <v>4.7170002861974485</v>
      </c>
    </row>
    <row r="181">
      <c r="A181" s="10" t="s">
        <v>25</v>
      </c>
      <c r="B181" s="10" t="s">
        <v>11</v>
      </c>
      <c r="C181" s="10" t="s">
        <v>12</v>
      </c>
      <c r="D181" s="10" t="s">
        <v>30</v>
      </c>
      <c r="E181" s="10" t="s">
        <v>29</v>
      </c>
      <c r="F181" s="10">
        <v>220.0</v>
      </c>
      <c r="G181" s="10" t="str">
        <f>IFERROR(VLOOKUP(C181&amp;D181&amp;E181&amp;F181,productID!$A$2:$B$7,2,FALSE))</f>
        <v/>
      </c>
      <c r="H181" s="10">
        <v>2023.0</v>
      </c>
      <c r="I181" s="10" t="s">
        <v>51</v>
      </c>
      <c r="J181" s="10">
        <v>48.32299061221266</v>
      </c>
      <c r="K181" s="11"/>
      <c r="L181" s="12"/>
      <c r="M181" s="9">
        <v>4.400438349620923</v>
      </c>
    </row>
    <row r="182">
      <c r="A182" s="10" t="s">
        <v>25</v>
      </c>
      <c r="B182" s="10" t="s">
        <v>11</v>
      </c>
      <c r="C182" s="10" t="s">
        <v>12</v>
      </c>
      <c r="D182" s="10" t="s">
        <v>30</v>
      </c>
      <c r="E182" s="10" t="s">
        <v>29</v>
      </c>
      <c r="F182" s="10">
        <v>220.0</v>
      </c>
      <c r="G182" s="10" t="str">
        <f>IFERROR(VLOOKUP(C182&amp;D182&amp;E182&amp;F182,productID!$A$2:$B$7,2,FALSE))</f>
        <v/>
      </c>
      <c r="H182" s="10">
        <v>2023.0</v>
      </c>
      <c r="I182" s="10" t="s">
        <v>52</v>
      </c>
      <c r="J182" s="10">
        <v>50.2034837283588</v>
      </c>
      <c r="K182" s="11"/>
      <c r="L182" s="12"/>
      <c r="M182" s="9">
        <v>4.507563866124139</v>
      </c>
    </row>
    <row r="183">
      <c r="A183" s="10" t="s">
        <v>25</v>
      </c>
      <c r="B183" s="10" t="s">
        <v>11</v>
      </c>
      <c r="C183" s="10" t="s">
        <v>12</v>
      </c>
      <c r="D183" s="10" t="s">
        <v>30</v>
      </c>
      <c r="E183" s="10" t="s">
        <v>29</v>
      </c>
      <c r="F183" s="10">
        <v>220.0</v>
      </c>
      <c r="G183" s="10" t="str">
        <f>IFERROR(VLOOKUP(C183&amp;D183&amp;E183&amp;F183,productID!$A$2:$B$7,2,FALSE))</f>
        <v/>
      </c>
      <c r="H183" s="10">
        <v>2023.0</v>
      </c>
      <c r="I183" s="10" t="s">
        <v>53</v>
      </c>
      <c r="J183" s="10">
        <v>45.743350041659596</v>
      </c>
      <c r="K183" s="11"/>
      <c r="L183" s="12"/>
      <c r="M183" s="9">
        <v>4.35961528590235</v>
      </c>
    </row>
    <row r="184">
      <c r="A184" s="10" t="s">
        <v>25</v>
      </c>
      <c r="B184" s="10" t="s">
        <v>11</v>
      </c>
      <c r="C184" s="10" t="s">
        <v>12</v>
      </c>
      <c r="D184" s="10" t="s">
        <v>30</v>
      </c>
      <c r="E184" s="10" t="s">
        <v>29</v>
      </c>
      <c r="F184" s="10">
        <v>220.0</v>
      </c>
      <c r="G184" s="10" t="str">
        <f>IFERROR(VLOOKUP(C184&amp;D184&amp;E184&amp;F184,productID!$A$2:$B$7,2,FALSE))</f>
        <v/>
      </c>
      <c r="H184" s="10">
        <v>2023.0</v>
      </c>
      <c r="I184" s="10" t="s">
        <v>54</v>
      </c>
      <c r="J184" s="10">
        <v>43.038990840823466</v>
      </c>
      <c r="K184" s="11"/>
      <c r="L184" s="12"/>
      <c r="M184" s="9">
        <v>4.380539137467842</v>
      </c>
    </row>
    <row r="185">
      <c r="A185" s="10" t="s">
        <v>26</v>
      </c>
      <c r="B185" s="10" t="s">
        <v>11</v>
      </c>
      <c r="C185" s="10" t="s">
        <v>12</v>
      </c>
      <c r="D185" s="10" t="s">
        <v>30</v>
      </c>
      <c r="E185" s="10" t="s">
        <v>29</v>
      </c>
      <c r="F185" s="10">
        <v>220.0</v>
      </c>
      <c r="G185" s="10" t="str">
        <f>IFERROR(VLOOKUP(C185&amp;D185&amp;E185&amp;F185,productID!$A$2:$B$7,2,FALSE))</f>
        <v/>
      </c>
      <c r="H185" s="10">
        <v>2022.0</v>
      </c>
      <c r="I185" s="10" t="s">
        <v>51</v>
      </c>
      <c r="J185" s="10">
        <v>112.71012545647272</v>
      </c>
      <c r="K185" s="11"/>
      <c r="L185" s="12"/>
      <c r="M185" s="9">
        <v>5.456243712835496</v>
      </c>
    </row>
    <row r="186">
      <c r="A186" s="10" t="s">
        <v>26</v>
      </c>
      <c r="B186" s="10" t="s">
        <v>11</v>
      </c>
      <c r="C186" s="10" t="s">
        <v>12</v>
      </c>
      <c r="D186" s="10" t="s">
        <v>30</v>
      </c>
      <c r="E186" s="10" t="s">
        <v>29</v>
      </c>
      <c r="F186" s="10">
        <v>220.0</v>
      </c>
      <c r="G186" s="10" t="str">
        <f>IFERROR(VLOOKUP(C186&amp;D186&amp;E186&amp;F186,productID!$A$2:$B$7,2,FALSE))</f>
        <v/>
      </c>
      <c r="H186" s="10">
        <v>2022.0</v>
      </c>
      <c r="I186" s="10" t="s">
        <v>52</v>
      </c>
      <c r="J186" s="10">
        <v>115.52080243639922</v>
      </c>
      <c r="K186" s="11"/>
      <c r="L186" s="12"/>
      <c r="M186" s="9">
        <v>5.501062983264447</v>
      </c>
    </row>
    <row r="187">
      <c r="A187" s="10" t="s">
        <v>26</v>
      </c>
      <c r="B187" s="10" t="s">
        <v>11</v>
      </c>
      <c r="C187" s="10" t="s">
        <v>12</v>
      </c>
      <c r="D187" s="10" t="s">
        <v>30</v>
      </c>
      <c r="E187" s="10" t="s">
        <v>29</v>
      </c>
      <c r="F187" s="10">
        <v>220.0</v>
      </c>
      <c r="G187" s="10" t="str">
        <f>IFERROR(VLOOKUP(C187&amp;D187&amp;E187&amp;F187,productID!$A$2:$B$7,2,FALSE))</f>
        <v/>
      </c>
      <c r="H187" s="10">
        <v>2022.0</v>
      </c>
      <c r="I187" s="10" t="s">
        <v>53</v>
      </c>
      <c r="J187" s="10">
        <v>113.8719794778949</v>
      </c>
      <c r="K187" s="11"/>
      <c r="L187" s="12"/>
      <c r="M187" s="9">
        <v>5.436748970118554</v>
      </c>
    </row>
    <row r="188">
      <c r="A188" s="10" t="s">
        <v>26</v>
      </c>
      <c r="B188" s="10" t="s">
        <v>11</v>
      </c>
      <c r="C188" s="10" t="s">
        <v>12</v>
      </c>
      <c r="D188" s="10" t="s">
        <v>30</v>
      </c>
      <c r="E188" s="10" t="s">
        <v>29</v>
      </c>
      <c r="F188" s="10">
        <v>220.0</v>
      </c>
      <c r="G188" s="10" t="str">
        <f>IFERROR(VLOOKUP(C188&amp;D188&amp;E188&amp;F188,productID!$A$2:$B$7,2,FALSE))</f>
        <v/>
      </c>
      <c r="H188" s="10">
        <v>2022.0</v>
      </c>
      <c r="I188" s="10" t="s">
        <v>54</v>
      </c>
      <c r="J188" s="10">
        <v>125.95496521917049</v>
      </c>
      <c r="K188" s="11"/>
      <c r="L188" s="12"/>
      <c r="M188" s="9">
        <v>5.900014361886823</v>
      </c>
    </row>
    <row r="189">
      <c r="A189" s="10" t="s">
        <v>26</v>
      </c>
      <c r="B189" s="10" t="s">
        <v>11</v>
      </c>
      <c r="C189" s="10" t="s">
        <v>12</v>
      </c>
      <c r="D189" s="10" t="s">
        <v>30</v>
      </c>
      <c r="E189" s="10" t="s">
        <v>29</v>
      </c>
      <c r="F189" s="10">
        <v>220.0</v>
      </c>
      <c r="G189" s="10" t="str">
        <f>IFERROR(VLOOKUP(C189&amp;D189&amp;E189&amp;F189,productID!$A$2:$B$7,2,FALSE))</f>
        <v/>
      </c>
      <c r="H189" s="10">
        <v>2023.0</v>
      </c>
      <c r="I189" s="10" t="s">
        <v>51</v>
      </c>
      <c r="J189" s="10">
        <v>128.16826402053005</v>
      </c>
      <c r="K189" s="11"/>
      <c r="L189" s="12"/>
      <c r="M189" s="9">
        <v>5.944358233970017</v>
      </c>
    </row>
    <row r="190">
      <c r="A190" s="10" t="s">
        <v>26</v>
      </c>
      <c r="B190" s="10" t="s">
        <v>11</v>
      </c>
      <c r="C190" s="10" t="s">
        <v>12</v>
      </c>
      <c r="D190" s="10" t="s">
        <v>30</v>
      </c>
      <c r="E190" s="10" t="s">
        <v>29</v>
      </c>
      <c r="F190" s="10">
        <v>220.0</v>
      </c>
      <c r="G190" s="10" t="str">
        <f>IFERROR(VLOOKUP(C190&amp;D190&amp;E190&amp;F190,productID!$A$2:$B$7,2,FALSE))</f>
        <v/>
      </c>
      <c r="H190" s="10">
        <v>2023.0</v>
      </c>
      <c r="I190" s="10" t="s">
        <v>52</v>
      </c>
      <c r="J190" s="10">
        <v>124.79463862003313</v>
      </c>
      <c r="K190" s="11"/>
      <c r="L190" s="12"/>
      <c r="M190" s="9">
        <v>5.600497816990516</v>
      </c>
    </row>
    <row r="191">
      <c r="A191" s="10" t="s">
        <v>26</v>
      </c>
      <c r="B191" s="10" t="s">
        <v>11</v>
      </c>
      <c r="C191" s="10" t="s">
        <v>12</v>
      </c>
      <c r="D191" s="10" t="s">
        <v>30</v>
      </c>
      <c r="E191" s="10" t="s">
        <v>29</v>
      </c>
      <c r="F191" s="10">
        <v>220.0</v>
      </c>
      <c r="G191" s="10" t="str">
        <f>IFERROR(VLOOKUP(C191&amp;D191&amp;E191&amp;F191,productID!$A$2:$B$7,2,FALSE))</f>
        <v/>
      </c>
      <c r="H191" s="10">
        <v>2023.0</v>
      </c>
      <c r="I191" s="10" t="s">
        <v>53</v>
      </c>
      <c r="J191" s="10">
        <v>126.7407601002672</v>
      </c>
      <c r="K191" s="11"/>
      <c r="L191" s="12"/>
      <c r="M191" s="9">
        <v>5.815717106142515</v>
      </c>
    </row>
    <row r="192">
      <c r="A192" s="10" t="s">
        <v>26</v>
      </c>
      <c r="B192" s="10" t="s">
        <v>11</v>
      </c>
      <c r="C192" s="10" t="s">
        <v>12</v>
      </c>
      <c r="D192" s="10" t="s">
        <v>30</v>
      </c>
      <c r="E192" s="10" t="s">
        <v>29</v>
      </c>
      <c r="F192" s="10">
        <v>220.0</v>
      </c>
      <c r="G192" s="10" t="str">
        <f>IFERROR(VLOOKUP(C192&amp;D192&amp;E192&amp;F192,productID!$A$2:$B$7,2,FALSE))</f>
        <v/>
      </c>
      <c r="H192" s="10">
        <v>2023.0</v>
      </c>
      <c r="I192" s="10" t="s">
        <v>54</v>
      </c>
      <c r="J192" s="10">
        <v>112.22052988694699</v>
      </c>
      <c r="K192" s="11"/>
      <c r="L192" s="12"/>
      <c r="M192" s="9">
        <v>5.336771282471147</v>
      </c>
    </row>
    <row r="193">
      <c r="A193" s="10" t="s">
        <v>10</v>
      </c>
      <c r="B193" s="10" t="s">
        <v>11</v>
      </c>
      <c r="C193" s="10" t="s">
        <v>12</v>
      </c>
      <c r="D193" s="10" t="s">
        <v>31</v>
      </c>
      <c r="E193" s="10" t="s">
        <v>29</v>
      </c>
      <c r="F193" s="10">
        <v>220.0</v>
      </c>
      <c r="G193" s="10" t="str">
        <f>IFERROR(VLOOKUP(C193&amp;D193&amp;E193&amp;F193,productID!$A$2:$B$7,2,FALSE))</f>
        <v/>
      </c>
      <c r="H193" s="10">
        <v>2022.0</v>
      </c>
      <c r="I193" s="10" t="s">
        <v>51</v>
      </c>
      <c r="J193" s="10">
        <v>7.79601662770834</v>
      </c>
      <c r="K193" s="11"/>
      <c r="L193" s="12"/>
      <c r="M193" s="9">
        <v>0.6832274470734231</v>
      </c>
    </row>
    <row r="194">
      <c r="A194" s="10" t="s">
        <v>10</v>
      </c>
      <c r="B194" s="10" t="s">
        <v>11</v>
      </c>
      <c r="C194" s="10" t="s">
        <v>12</v>
      </c>
      <c r="D194" s="10" t="s">
        <v>31</v>
      </c>
      <c r="E194" s="10" t="s">
        <v>29</v>
      </c>
      <c r="F194" s="10">
        <v>220.0</v>
      </c>
      <c r="G194" s="10" t="str">
        <f>IFERROR(VLOOKUP(C194&amp;D194&amp;E194&amp;F194,productID!$A$2:$B$7,2,FALSE))</f>
        <v/>
      </c>
      <c r="H194" s="10">
        <v>2022.0</v>
      </c>
      <c r="I194" s="10" t="s">
        <v>52</v>
      </c>
      <c r="J194" s="10">
        <v>8.467198446881099</v>
      </c>
      <c r="K194" s="11"/>
      <c r="L194" s="12"/>
      <c r="M194" s="9">
        <v>0.7389830290082046</v>
      </c>
    </row>
    <row r="195">
      <c r="A195" s="10" t="s">
        <v>10</v>
      </c>
      <c r="B195" s="10" t="s">
        <v>11</v>
      </c>
      <c r="C195" s="10" t="s">
        <v>12</v>
      </c>
      <c r="D195" s="10" t="s">
        <v>31</v>
      </c>
      <c r="E195" s="10" t="s">
        <v>29</v>
      </c>
      <c r="F195" s="10">
        <v>220.0</v>
      </c>
      <c r="G195" s="10" t="str">
        <f>IFERROR(VLOOKUP(C195&amp;D195&amp;E195&amp;F195,productID!$A$2:$B$7,2,FALSE))</f>
        <v/>
      </c>
      <c r="H195" s="10">
        <v>2022.0</v>
      </c>
      <c r="I195" s="10" t="s">
        <v>53</v>
      </c>
      <c r="J195" s="10">
        <v>9.306815405708178</v>
      </c>
      <c r="K195" s="11"/>
      <c r="L195" s="12"/>
      <c r="M195" s="9">
        <v>0.8135215680992668</v>
      </c>
    </row>
    <row r="196">
      <c r="A196" s="10" t="s">
        <v>10</v>
      </c>
      <c r="B196" s="10" t="s">
        <v>11</v>
      </c>
      <c r="C196" s="10" t="s">
        <v>12</v>
      </c>
      <c r="D196" s="10" t="s">
        <v>31</v>
      </c>
      <c r="E196" s="10" t="s">
        <v>29</v>
      </c>
      <c r="F196" s="10">
        <v>220.0</v>
      </c>
      <c r="G196" s="10" t="str">
        <f>IFERROR(VLOOKUP(C196&amp;D196&amp;E196&amp;F196,productID!$A$2:$B$7,2,FALSE))</f>
        <v/>
      </c>
      <c r="H196" s="10">
        <v>2022.0</v>
      </c>
      <c r="I196" s="10" t="s">
        <v>54</v>
      </c>
      <c r="J196" s="10">
        <v>10.133466215582374</v>
      </c>
      <c r="K196" s="11"/>
      <c r="L196" s="12"/>
      <c r="M196" s="9">
        <v>0.9176715221378147</v>
      </c>
    </row>
    <row r="197">
      <c r="A197" s="10" t="s">
        <v>10</v>
      </c>
      <c r="B197" s="10" t="s">
        <v>11</v>
      </c>
      <c r="C197" s="10" t="s">
        <v>12</v>
      </c>
      <c r="D197" s="10" t="s">
        <v>31</v>
      </c>
      <c r="E197" s="10" t="s">
        <v>29</v>
      </c>
      <c r="F197" s="10">
        <v>220.0</v>
      </c>
      <c r="G197" s="10" t="str">
        <f>IFERROR(VLOOKUP(C197&amp;D197&amp;E197&amp;F197,productID!$A$2:$B$7,2,FALSE))</f>
        <v/>
      </c>
      <c r="H197" s="10">
        <v>2023.0</v>
      </c>
      <c r="I197" s="10" t="s">
        <v>51</v>
      </c>
      <c r="J197" s="10">
        <v>11.337583580236107</v>
      </c>
      <c r="K197" s="11"/>
      <c r="L197" s="12"/>
      <c r="M197" s="9">
        <v>0.9613404072944152</v>
      </c>
    </row>
    <row r="198">
      <c r="A198" s="10" t="s">
        <v>10</v>
      </c>
      <c r="B198" s="10" t="s">
        <v>11</v>
      </c>
      <c r="C198" s="10" t="s">
        <v>12</v>
      </c>
      <c r="D198" s="10" t="s">
        <v>31</v>
      </c>
      <c r="E198" s="10" t="s">
        <v>29</v>
      </c>
      <c r="F198" s="10">
        <v>220.0</v>
      </c>
      <c r="G198" s="10" t="str">
        <f>IFERROR(VLOOKUP(C198&amp;D198&amp;E198&amp;F198,productID!$A$2:$B$7,2,FALSE))</f>
        <v/>
      </c>
      <c r="H198" s="10">
        <v>2023.0</v>
      </c>
      <c r="I198" s="10" t="s">
        <v>52</v>
      </c>
      <c r="J198" s="10">
        <v>12.63609830047347</v>
      </c>
      <c r="K198" s="11"/>
      <c r="L198" s="12"/>
      <c r="M198" s="9">
        <v>0.9986055153737174</v>
      </c>
    </row>
    <row r="199">
      <c r="A199" s="10" t="s">
        <v>10</v>
      </c>
      <c r="B199" s="10" t="s">
        <v>11</v>
      </c>
      <c r="C199" s="10" t="s">
        <v>12</v>
      </c>
      <c r="D199" s="10" t="s">
        <v>31</v>
      </c>
      <c r="E199" s="10" t="s">
        <v>29</v>
      </c>
      <c r="F199" s="10">
        <v>220.0</v>
      </c>
      <c r="G199" s="10" t="str">
        <f>IFERROR(VLOOKUP(C199&amp;D199&amp;E199&amp;F199,productID!$A$2:$B$7,2,FALSE))</f>
        <v/>
      </c>
      <c r="H199" s="10">
        <v>2023.0</v>
      </c>
      <c r="I199" s="10" t="s">
        <v>53</v>
      </c>
      <c r="J199" s="10">
        <v>11.802440982026702</v>
      </c>
      <c r="K199" s="11"/>
      <c r="L199" s="12"/>
      <c r="M199" s="9">
        <v>0.9560456791619771</v>
      </c>
    </row>
    <row r="200">
      <c r="A200" s="10" t="s">
        <v>10</v>
      </c>
      <c r="B200" s="10" t="s">
        <v>11</v>
      </c>
      <c r="C200" s="10" t="s">
        <v>12</v>
      </c>
      <c r="D200" s="10" t="s">
        <v>31</v>
      </c>
      <c r="E200" s="10" t="s">
        <v>29</v>
      </c>
      <c r="F200" s="10">
        <v>220.0</v>
      </c>
      <c r="G200" s="10" t="str">
        <f>IFERROR(VLOOKUP(C200&amp;D200&amp;E200&amp;F200,productID!$A$2:$B$7,2,FALSE))</f>
        <v/>
      </c>
      <c r="H200" s="10">
        <v>2023.0</v>
      </c>
      <c r="I200" s="10" t="s">
        <v>54</v>
      </c>
      <c r="J200" s="10">
        <v>10.199347594850565</v>
      </c>
      <c r="K200" s="11"/>
      <c r="L200" s="12"/>
      <c r="M200" s="9">
        <v>0.8776096956368153</v>
      </c>
    </row>
    <row r="201">
      <c r="A201" s="10" t="s">
        <v>24</v>
      </c>
      <c r="B201" s="10" t="s">
        <v>11</v>
      </c>
      <c r="C201" s="10" t="s">
        <v>12</v>
      </c>
      <c r="D201" s="10" t="s">
        <v>31</v>
      </c>
      <c r="E201" s="10" t="s">
        <v>29</v>
      </c>
      <c r="F201" s="10">
        <v>220.0</v>
      </c>
      <c r="G201" s="10" t="str">
        <f>IFERROR(VLOOKUP(C201&amp;D201&amp;E201&amp;F201,productID!$A$2:$B$7,2,FALSE))</f>
        <v/>
      </c>
      <c r="H201" s="10">
        <v>2022.0</v>
      </c>
      <c r="I201" s="10" t="s">
        <v>53</v>
      </c>
      <c r="J201" s="10">
        <v>0.4436452060933873</v>
      </c>
      <c r="K201" s="11"/>
      <c r="L201" s="12"/>
      <c r="M201" s="9">
        <v>0.04609882572590826</v>
      </c>
    </row>
    <row r="202">
      <c r="A202" s="10" t="s">
        <v>24</v>
      </c>
      <c r="B202" s="10" t="s">
        <v>11</v>
      </c>
      <c r="C202" s="10" t="s">
        <v>12</v>
      </c>
      <c r="D202" s="10" t="s">
        <v>31</v>
      </c>
      <c r="E202" s="10" t="s">
        <v>29</v>
      </c>
      <c r="F202" s="10">
        <v>220.0</v>
      </c>
      <c r="G202" s="10" t="str">
        <f>IFERROR(VLOOKUP(C202&amp;D202&amp;E202&amp;F202,productID!$A$2:$B$7,2,FALSE))</f>
        <v/>
      </c>
      <c r="H202" s="10">
        <v>2022.0</v>
      </c>
      <c r="I202" s="10" t="s">
        <v>54</v>
      </c>
      <c r="J202" s="10">
        <v>2.3107336725899574</v>
      </c>
      <c r="K202" s="11"/>
      <c r="L202" s="12"/>
      <c r="M202" s="9">
        <v>0.24806458761870423</v>
      </c>
    </row>
    <row r="203">
      <c r="A203" s="10" t="s">
        <v>24</v>
      </c>
      <c r="B203" s="10" t="s">
        <v>11</v>
      </c>
      <c r="C203" s="10" t="s">
        <v>12</v>
      </c>
      <c r="D203" s="10" t="s">
        <v>31</v>
      </c>
      <c r="E203" s="10" t="s">
        <v>29</v>
      </c>
      <c r="F203" s="10">
        <v>220.0</v>
      </c>
      <c r="G203" s="10" t="str">
        <f>IFERROR(VLOOKUP(C203&amp;D203&amp;E203&amp;F203,productID!$A$2:$B$7,2,FALSE))</f>
        <v/>
      </c>
      <c r="H203" s="10">
        <v>2023.0</v>
      </c>
      <c r="I203" s="10" t="s">
        <v>51</v>
      </c>
      <c r="J203" s="10">
        <v>2.2776737816352077</v>
      </c>
      <c r="K203" s="11"/>
      <c r="L203" s="12"/>
      <c r="M203" s="9">
        <v>0.2381851412759658</v>
      </c>
    </row>
    <row r="204">
      <c r="A204" s="10" t="s">
        <v>24</v>
      </c>
      <c r="B204" s="10" t="s">
        <v>11</v>
      </c>
      <c r="C204" s="10" t="s">
        <v>12</v>
      </c>
      <c r="D204" s="10" t="s">
        <v>31</v>
      </c>
      <c r="E204" s="10" t="s">
        <v>29</v>
      </c>
      <c r="F204" s="10">
        <v>220.0</v>
      </c>
      <c r="G204" s="10" t="str">
        <f>IFERROR(VLOOKUP(C204&amp;D204&amp;E204&amp;F204,productID!$A$2:$B$7,2,FALSE))</f>
        <v/>
      </c>
      <c r="H204" s="10">
        <v>2023.0</v>
      </c>
      <c r="I204" s="10" t="s">
        <v>52</v>
      </c>
      <c r="J204" s="10">
        <v>2.679059844132596</v>
      </c>
      <c r="K204" s="11"/>
      <c r="L204" s="12"/>
      <c r="M204" s="9">
        <v>0.276486621889903</v>
      </c>
    </row>
    <row r="205">
      <c r="A205" s="10" t="s">
        <v>24</v>
      </c>
      <c r="B205" s="10" t="s">
        <v>11</v>
      </c>
      <c r="C205" s="10" t="s">
        <v>12</v>
      </c>
      <c r="D205" s="10" t="s">
        <v>31</v>
      </c>
      <c r="E205" s="10" t="s">
        <v>29</v>
      </c>
      <c r="F205" s="10">
        <v>220.0</v>
      </c>
      <c r="G205" s="10" t="str">
        <f>IFERROR(VLOOKUP(C205&amp;D205&amp;E205&amp;F205,productID!$A$2:$B$7,2,FALSE))</f>
        <v/>
      </c>
      <c r="H205" s="10">
        <v>2023.0</v>
      </c>
      <c r="I205" s="10" t="s">
        <v>53</v>
      </c>
      <c r="J205" s="10">
        <v>2.127687839639711</v>
      </c>
      <c r="K205" s="11"/>
      <c r="L205" s="12"/>
      <c r="M205" s="9">
        <v>0.23372095018350703</v>
      </c>
    </row>
    <row r="206">
      <c r="A206" s="10" t="s">
        <v>24</v>
      </c>
      <c r="B206" s="10" t="s">
        <v>11</v>
      </c>
      <c r="C206" s="10" t="s">
        <v>12</v>
      </c>
      <c r="D206" s="10" t="s">
        <v>31</v>
      </c>
      <c r="E206" s="10" t="s">
        <v>29</v>
      </c>
      <c r="F206" s="10">
        <v>220.0</v>
      </c>
      <c r="G206" s="10" t="str">
        <f>IFERROR(VLOOKUP(C206&amp;D206&amp;E206&amp;F206,productID!$A$2:$B$7,2,FALSE))</f>
        <v/>
      </c>
      <c r="H206" s="10">
        <v>2023.0</v>
      </c>
      <c r="I206" s="10" t="s">
        <v>54</v>
      </c>
      <c r="J206" s="10">
        <v>1.9481081162946017</v>
      </c>
      <c r="K206" s="11"/>
      <c r="L206" s="12"/>
      <c r="M206" s="9">
        <v>0.24705006075656527</v>
      </c>
    </row>
    <row r="207">
      <c r="A207" s="10" t="s">
        <v>25</v>
      </c>
      <c r="B207" s="10" t="s">
        <v>11</v>
      </c>
      <c r="C207" s="10" t="s">
        <v>12</v>
      </c>
      <c r="D207" s="10" t="s">
        <v>31</v>
      </c>
      <c r="E207" s="10" t="s">
        <v>29</v>
      </c>
      <c r="F207" s="10">
        <v>220.0</v>
      </c>
      <c r="G207" s="10" t="str">
        <f>IFERROR(VLOOKUP(C207&amp;D207&amp;E207&amp;F207,productID!$A$2:$B$7,2,FALSE))</f>
        <v/>
      </c>
      <c r="H207" s="10">
        <v>2022.0</v>
      </c>
      <c r="I207" s="10" t="s">
        <v>51</v>
      </c>
      <c r="J207" s="10">
        <v>3.364449966020273</v>
      </c>
      <c r="K207" s="11"/>
      <c r="L207" s="12"/>
      <c r="M207" s="9">
        <v>0.3442797455460417</v>
      </c>
    </row>
    <row r="208">
      <c r="A208" s="10" t="s">
        <v>25</v>
      </c>
      <c r="B208" s="10" t="s">
        <v>11</v>
      </c>
      <c r="C208" s="10" t="s">
        <v>12</v>
      </c>
      <c r="D208" s="10" t="s">
        <v>31</v>
      </c>
      <c r="E208" s="10" t="s">
        <v>29</v>
      </c>
      <c r="F208" s="10">
        <v>220.0</v>
      </c>
      <c r="G208" s="10" t="str">
        <f>IFERROR(VLOOKUP(C208&amp;D208&amp;E208&amp;F208,productID!$A$2:$B$7,2,FALSE))</f>
        <v/>
      </c>
      <c r="H208" s="10">
        <v>2022.0</v>
      </c>
      <c r="I208" s="10" t="s">
        <v>52</v>
      </c>
      <c r="J208" s="10">
        <v>2.920090376674555</v>
      </c>
      <c r="K208" s="11"/>
      <c r="L208" s="12"/>
      <c r="M208" s="9">
        <v>0.2961766137079289</v>
      </c>
    </row>
    <row r="209">
      <c r="A209" s="10" t="s">
        <v>25</v>
      </c>
      <c r="B209" s="10" t="s">
        <v>11</v>
      </c>
      <c r="C209" s="10" t="s">
        <v>12</v>
      </c>
      <c r="D209" s="10" t="s">
        <v>31</v>
      </c>
      <c r="E209" s="10" t="s">
        <v>29</v>
      </c>
      <c r="F209" s="10">
        <v>220.0</v>
      </c>
      <c r="G209" s="10" t="str">
        <f>IFERROR(VLOOKUP(C209&amp;D209&amp;E209&amp;F209,productID!$A$2:$B$7,2,FALSE))</f>
        <v/>
      </c>
      <c r="H209" s="10">
        <v>2022.0</v>
      </c>
      <c r="I209" s="10" t="s">
        <v>53</v>
      </c>
      <c r="J209" s="10">
        <v>3.8430422471195578</v>
      </c>
      <c r="K209" s="11"/>
      <c r="L209" s="12"/>
      <c r="M209" s="9">
        <v>0.37482887834285394</v>
      </c>
    </row>
    <row r="210">
      <c r="A210" s="10" t="s">
        <v>25</v>
      </c>
      <c r="B210" s="10" t="s">
        <v>11</v>
      </c>
      <c r="C210" s="10" t="s">
        <v>12</v>
      </c>
      <c r="D210" s="10" t="s">
        <v>31</v>
      </c>
      <c r="E210" s="10" t="s">
        <v>29</v>
      </c>
      <c r="F210" s="10">
        <v>220.0</v>
      </c>
      <c r="G210" s="10" t="str">
        <f>IFERROR(VLOOKUP(C210&amp;D210&amp;E210&amp;F210,productID!$A$2:$B$7,2,FALSE))</f>
        <v/>
      </c>
      <c r="H210" s="10">
        <v>2022.0</v>
      </c>
      <c r="I210" s="10" t="s">
        <v>54</v>
      </c>
      <c r="J210" s="10">
        <v>5.935114991040649</v>
      </c>
      <c r="K210" s="11"/>
      <c r="L210" s="12"/>
      <c r="M210" s="9">
        <v>0.5710281099577896</v>
      </c>
    </row>
    <row r="211">
      <c r="A211" s="10" t="s">
        <v>25</v>
      </c>
      <c r="B211" s="10" t="s">
        <v>11</v>
      </c>
      <c r="C211" s="10" t="s">
        <v>12</v>
      </c>
      <c r="D211" s="10" t="s">
        <v>31</v>
      </c>
      <c r="E211" s="10" t="s">
        <v>29</v>
      </c>
      <c r="F211" s="10">
        <v>220.0</v>
      </c>
      <c r="G211" s="10" t="str">
        <f>IFERROR(VLOOKUP(C211&amp;D211&amp;E211&amp;F211,productID!$A$2:$B$7,2,FALSE))</f>
        <v/>
      </c>
      <c r="H211" s="10">
        <v>2023.0</v>
      </c>
      <c r="I211" s="10" t="s">
        <v>51</v>
      </c>
      <c r="J211" s="10">
        <v>6.8790610811686665</v>
      </c>
      <c r="K211" s="11"/>
      <c r="L211" s="12"/>
      <c r="M211" s="9">
        <v>0.6264282033759107</v>
      </c>
    </row>
    <row r="212">
      <c r="A212" s="10" t="s">
        <v>25</v>
      </c>
      <c r="B212" s="10" t="s">
        <v>11</v>
      </c>
      <c r="C212" s="10" t="s">
        <v>12</v>
      </c>
      <c r="D212" s="10" t="s">
        <v>31</v>
      </c>
      <c r="E212" s="10" t="s">
        <v>29</v>
      </c>
      <c r="F212" s="10">
        <v>220.0</v>
      </c>
      <c r="G212" s="10" t="str">
        <f>IFERROR(VLOOKUP(C212&amp;D212&amp;E212&amp;F212,productID!$A$2:$B$7,2,FALSE))</f>
        <v/>
      </c>
      <c r="H212" s="10">
        <v>2023.0</v>
      </c>
      <c r="I212" s="10" t="s">
        <v>52</v>
      </c>
      <c r="J212" s="10">
        <v>6.022757728247202</v>
      </c>
      <c r="K212" s="11"/>
      <c r="L212" s="12"/>
      <c r="M212" s="9">
        <v>0.5407585907216979</v>
      </c>
    </row>
    <row r="213">
      <c r="A213" s="10" t="s">
        <v>25</v>
      </c>
      <c r="B213" s="10" t="s">
        <v>11</v>
      </c>
      <c r="C213" s="10" t="s">
        <v>12</v>
      </c>
      <c r="D213" s="10" t="s">
        <v>31</v>
      </c>
      <c r="E213" s="10" t="s">
        <v>29</v>
      </c>
      <c r="F213" s="10">
        <v>220.0</v>
      </c>
      <c r="G213" s="10" t="str">
        <f>IFERROR(VLOOKUP(C213&amp;D213&amp;E213&amp;F213,productID!$A$2:$B$7,2,FALSE))</f>
        <v/>
      </c>
      <c r="H213" s="10">
        <v>2023.0</v>
      </c>
      <c r="I213" s="10" t="s">
        <v>53</v>
      </c>
      <c r="J213" s="10">
        <v>4.557292976091769</v>
      </c>
      <c r="K213" s="11"/>
      <c r="L213" s="12"/>
      <c r="M213" s="9">
        <v>0.43433732122397617</v>
      </c>
    </row>
    <row r="214">
      <c r="A214" s="10" t="s">
        <v>25</v>
      </c>
      <c r="B214" s="10" t="s">
        <v>11</v>
      </c>
      <c r="C214" s="10" t="s">
        <v>12</v>
      </c>
      <c r="D214" s="10" t="s">
        <v>31</v>
      </c>
      <c r="E214" s="10" t="s">
        <v>29</v>
      </c>
      <c r="F214" s="10">
        <v>220.0</v>
      </c>
      <c r="G214" s="10" t="str">
        <f>IFERROR(VLOOKUP(C214&amp;D214&amp;E214&amp;F214,productID!$A$2:$B$7,2,FALSE))</f>
        <v/>
      </c>
      <c r="H214" s="10">
        <v>2023.0</v>
      </c>
      <c r="I214" s="10" t="s">
        <v>54</v>
      </c>
      <c r="J214" s="10">
        <v>3.9875501894749634</v>
      </c>
      <c r="K214" s="11"/>
      <c r="L214" s="12"/>
      <c r="M214" s="9">
        <v>0.40585569796966414</v>
      </c>
    </row>
    <row r="215">
      <c r="A215" s="10" t="s">
        <v>26</v>
      </c>
      <c r="B215" s="10" t="s">
        <v>11</v>
      </c>
      <c r="C215" s="10" t="s">
        <v>12</v>
      </c>
      <c r="D215" s="10" t="s">
        <v>31</v>
      </c>
      <c r="E215" s="10" t="s">
        <v>29</v>
      </c>
      <c r="F215" s="10">
        <v>220.0</v>
      </c>
      <c r="G215" s="10" t="str">
        <f>IFERROR(VLOOKUP(C215&amp;D215&amp;E215&amp;F215,productID!$A$2:$B$7,2,FALSE))</f>
        <v/>
      </c>
      <c r="H215" s="10">
        <v>2022.0</v>
      </c>
      <c r="I215" s="10" t="s">
        <v>51</v>
      </c>
      <c r="J215" s="10">
        <v>37.131904089187785</v>
      </c>
      <c r="K215" s="11"/>
      <c r="L215" s="12"/>
      <c r="M215" s="9">
        <v>1.7975378646036857</v>
      </c>
    </row>
    <row r="216">
      <c r="A216" s="10" t="s">
        <v>26</v>
      </c>
      <c r="B216" s="10" t="s">
        <v>11</v>
      </c>
      <c r="C216" s="10" t="s">
        <v>12</v>
      </c>
      <c r="D216" s="10" t="s">
        <v>31</v>
      </c>
      <c r="E216" s="10" t="s">
        <v>29</v>
      </c>
      <c r="F216" s="10">
        <v>220.0</v>
      </c>
      <c r="G216" s="10" t="str">
        <f>IFERROR(VLOOKUP(C216&amp;D216&amp;E216&amp;F216,productID!$A$2:$B$7,2,FALSE))</f>
        <v/>
      </c>
      <c r="H216" s="10">
        <v>2022.0</v>
      </c>
      <c r="I216" s="10" t="s">
        <v>52</v>
      </c>
      <c r="J216" s="10">
        <v>40.03729124686512</v>
      </c>
      <c r="K216" s="11"/>
      <c r="L216" s="12"/>
      <c r="M216" s="9">
        <v>1.906562767771339</v>
      </c>
    </row>
    <row r="217">
      <c r="A217" s="10" t="s">
        <v>26</v>
      </c>
      <c r="B217" s="10" t="s">
        <v>11</v>
      </c>
      <c r="C217" s="10" t="s">
        <v>12</v>
      </c>
      <c r="D217" s="10" t="s">
        <v>31</v>
      </c>
      <c r="E217" s="10" t="s">
        <v>29</v>
      </c>
      <c r="F217" s="10">
        <v>220.0</v>
      </c>
      <c r="G217" s="10" t="str">
        <f>IFERROR(VLOOKUP(C217&amp;D217&amp;E217&amp;F217,productID!$A$2:$B$7,2,FALSE))</f>
        <v/>
      </c>
      <c r="H217" s="10">
        <v>2022.0</v>
      </c>
      <c r="I217" s="10" t="s">
        <v>53</v>
      </c>
      <c r="J217" s="10">
        <v>39.564641492196614</v>
      </c>
      <c r="K217" s="11"/>
      <c r="L217" s="12"/>
      <c r="M217" s="9">
        <v>1.888989941793065</v>
      </c>
    </row>
    <row r="218">
      <c r="A218" s="10" t="s">
        <v>26</v>
      </c>
      <c r="B218" s="10" t="s">
        <v>11</v>
      </c>
      <c r="C218" s="10" t="s">
        <v>12</v>
      </c>
      <c r="D218" s="10" t="s">
        <v>31</v>
      </c>
      <c r="E218" s="10" t="s">
        <v>29</v>
      </c>
      <c r="F218" s="10">
        <v>220.0</v>
      </c>
      <c r="G218" s="10" t="str">
        <f>IFERROR(VLOOKUP(C218&amp;D218&amp;E218&amp;F218,productID!$A$2:$B$7,2,FALSE))</f>
        <v/>
      </c>
      <c r="H218" s="10">
        <v>2022.0</v>
      </c>
      <c r="I218" s="10" t="s">
        <v>54</v>
      </c>
      <c r="J218" s="10">
        <v>40.03065703993253</v>
      </c>
      <c r="K218" s="11"/>
      <c r="L218" s="12"/>
      <c r="M218" s="9">
        <v>1.875126169424091</v>
      </c>
    </row>
    <row r="219">
      <c r="A219" s="10" t="s">
        <v>26</v>
      </c>
      <c r="B219" s="10" t="s">
        <v>11</v>
      </c>
      <c r="C219" s="10" t="s">
        <v>12</v>
      </c>
      <c r="D219" s="10" t="s">
        <v>31</v>
      </c>
      <c r="E219" s="10" t="s">
        <v>29</v>
      </c>
      <c r="F219" s="10">
        <v>220.0</v>
      </c>
      <c r="G219" s="10" t="str">
        <f>IFERROR(VLOOKUP(C219&amp;D219&amp;E219&amp;F219,productID!$A$2:$B$7,2,FALSE))</f>
        <v/>
      </c>
      <c r="H219" s="10">
        <v>2023.0</v>
      </c>
      <c r="I219" s="10" t="s">
        <v>51</v>
      </c>
      <c r="J219" s="10">
        <v>43.31509497131907</v>
      </c>
      <c r="K219" s="11"/>
      <c r="L219" s="12"/>
      <c r="M219" s="9">
        <v>2.008925090900119</v>
      </c>
    </row>
    <row r="220">
      <c r="A220" s="10" t="s">
        <v>26</v>
      </c>
      <c r="B220" s="10" t="s">
        <v>11</v>
      </c>
      <c r="C220" s="10" t="s">
        <v>12</v>
      </c>
      <c r="D220" s="10" t="s">
        <v>31</v>
      </c>
      <c r="E220" s="10" t="s">
        <v>29</v>
      </c>
      <c r="F220" s="10">
        <v>220.0</v>
      </c>
      <c r="G220" s="10" t="str">
        <f>IFERROR(VLOOKUP(C220&amp;D220&amp;E220&amp;F220,productID!$A$2:$B$7,2,FALSE))</f>
        <v/>
      </c>
      <c r="H220" s="10">
        <v>2023.0</v>
      </c>
      <c r="I220" s="10" t="s">
        <v>52</v>
      </c>
      <c r="J220" s="10">
        <v>39.86297121446274</v>
      </c>
      <c r="K220" s="11"/>
      <c r="L220" s="12"/>
      <c r="M220" s="9">
        <v>1.7889589307205693</v>
      </c>
    </row>
    <row r="221">
      <c r="A221" s="10" t="s">
        <v>26</v>
      </c>
      <c r="B221" s="10" t="s">
        <v>11</v>
      </c>
      <c r="C221" s="10" t="s">
        <v>12</v>
      </c>
      <c r="D221" s="10" t="s">
        <v>31</v>
      </c>
      <c r="E221" s="10" t="s">
        <v>29</v>
      </c>
      <c r="F221" s="10">
        <v>220.0</v>
      </c>
      <c r="G221" s="10" t="str">
        <f>IFERROR(VLOOKUP(C221&amp;D221&amp;E221&amp;F221,productID!$A$2:$B$7,2,FALSE))</f>
        <v/>
      </c>
      <c r="H221" s="10">
        <v>2023.0</v>
      </c>
      <c r="I221" s="10" t="s">
        <v>53</v>
      </c>
      <c r="J221" s="10">
        <v>39.33577862077629</v>
      </c>
      <c r="K221" s="11"/>
      <c r="L221" s="12"/>
      <c r="M221" s="9">
        <v>1.8049896531100367</v>
      </c>
    </row>
    <row r="222">
      <c r="A222" s="10" t="s">
        <v>26</v>
      </c>
      <c r="B222" s="10" t="s">
        <v>11</v>
      </c>
      <c r="C222" s="10" t="s">
        <v>12</v>
      </c>
      <c r="D222" s="10" t="s">
        <v>31</v>
      </c>
      <c r="E222" s="10" t="s">
        <v>29</v>
      </c>
      <c r="F222" s="10">
        <v>220.0</v>
      </c>
      <c r="G222" s="10" t="str">
        <f>IFERROR(VLOOKUP(C222&amp;D222&amp;E222&amp;F222,productID!$A$2:$B$7,2,FALSE))</f>
        <v/>
      </c>
      <c r="H222" s="10">
        <v>2023.0</v>
      </c>
      <c r="I222" s="10" t="s">
        <v>54</v>
      </c>
      <c r="J222" s="10">
        <v>36.47599821092286</v>
      </c>
      <c r="K222" s="11"/>
      <c r="L222" s="12"/>
      <c r="M222" s="9">
        <v>1.7346563944015427</v>
      </c>
    </row>
    <row r="223">
      <c r="A223" s="10" t="s">
        <v>10</v>
      </c>
      <c r="B223" s="10" t="s">
        <v>11</v>
      </c>
      <c r="C223" s="10" t="s">
        <v>12</v>
      </c>
      <c r="D223" s="10" t="s">
        <v>13</v>
      </c>
      <c r="E223" s="10" t="s">
        <v>29</v>
      </c>
      <c r="F223" s="10">
        <v>220.0</v>
      </c>
      <c r="G223" s="10" t="str">
        <f>IFERROR(VLOOKUP(C223&amp;D223&amp;E223&amp;F223,productID!$A$2:$B$7,2,FALSE))</f>
        <v/>
      </c>
      <c r="H223" s="10">
        <v>2022.0</v>
      </c>
      <c r="I223" s="10" t="s">
        <v>51</v>
      </c>
      <c r="J223" s="10">
        <v>121.10239684022088</v>
      </c>
      <c r="K223" s="11"/>
      <c r="L223" s="12"/>
      <c r="M223" s="9">
        <v>10.613174057831438</v>
      </c>
    </row>
    <row r="224">
      <c r="A224" s="10" t="s">
        <v>10</v>
      </c>
      <c r="B224" s="10" t="s">
        <v>11</v>
      </c>
      <c r="C224" s="10" t="s">
        <v>12</v>
      </c>
      <c r="D224" s="10" t="s">
        <v>13</v>
      </c>
      <c r="E224" s="10" t="s">
        <v>29</v>
      </c>
      <c r="F224" s="10">
        <v>220.0</v>
      </c>
      <c r="G224" s="10" t="str">
        <f>IFERROR(VLOOKUP(C224&amp;D224&amp;E224&amp;F224,productID!$A$2:$B$7,2,FALSE))</f>
        <v/>
      </c>
      <c r="H224" s="10">
        <v>2022.0</v>
      </c>
      <c r="I224" s="10" t="s">
        <v>52</v>
      </c>
      <c r="J224" s="10">
        <v>128.53782772537147</v>
      </c>
      <c r="K224" s="11"/>
      <c r="L224" s="12"/>
      <c r="M224" s="9">
        <v>11.218264679933002</v>
      </c>
    </row>
    <row r="225">
      <c r="A225" s="10" t="s">
        <v>10</v>
      </c>
      <c r="B225" s="10" t="s">
        <v>11</v>
      </c>
      <c r="C225" s="10" t="s">
        <v>12</v>
      </c>
      <c r="D225" s="10" t="s">
        <v>13</v>
      </c>
      <c r="E225" s="10" t="s">
        <v>29</v>
      </c>
      <c r="F225" s="10">
        <v>220.0</v>
      </c>
      <c r="G225" s="10" t="str">
        <f>IFERROR(VLOOKUP(C225&amp;D225&amp;E225&amp;F225,productID!$A$2:$B$7,2,FALSE))</f>
        <v/>
      </c>
      <c r="H225" s="10">
        <v>2022.0</v>
      </c>
      <c r="I225" s="10" t="s">
        <v>53</v>
      </c>
      <c r="J225" s="10">
        <v>126.28643734875641</v>
      </c>
      <c r="K225" s="11"/>
      <c r="L225" s="12"/>
      <c r="M225" s="9">
        <v>11.038871629345767</v>
      </c>
    </row>
    <row r="226">
      <c r="A226" s="10" t="s">
        <v>10</v>
      </c>
      <c r="B226" s="10" t="s">
        <v>11</v>
      </c>
      <c r="C226" s="10" t="s">
        <v>12</v>
      </c>
      <c r="D226" s="10" t="s">
        <v>13</v>
      </c>
      <c r="E226" s="10" t="s">
        <v>29</v>
      </c>
      <c r="F226" s="10">
        <v>220.0</v>
      </c>
      <c r="G226" s="10" t="str">
        <f>IFERROR(VLOOKUP(C226&amp;D226&amp;E226&amp;F226,productID!$A$2:$B$7,2,FALSE))</f>
        <v/>
      </c>
      <c r="H226" s="10">
        <v>2022.0</v>
      </c>
      <c r="I226" s="10" t="s">
        <v>54</v>
      </c>
      <c r="J226" s="10">
        <v>124.94776719540926</v>
      </c>
      <c r="K226" s="11"/>
      <c r="L226" s="12"/>
      <c r="M226" s="9">
        <v>11.31508264502986</v>
      </c>
    </row>
    <row r="227">
      <c r="A227" s="10" t="s">
        <v>10</v>
      </c>
      <c r="B227" s="10" t="s">
        <v>11</v>
      </c>
      <c r="C227" s="10" t="s">
        <v>12</v>
      </c>
      <c r="D227" s="10" t="s">
        <v>13</v>
      </c>
      <c r="E227" s="10" t="s">
        <v>29</v>
      </c>
      <c r="F227" s="10">
        <v>220.0</v>
      </c>
      <c r="G227" s="10" t="str">
        <f>IFERROR(VLOOKUP(C227&amp;D227&amp;E227&amp;F227,productID!$A$2:$B$7,2,FALSE))</f>
        <v/>
      </c>
      <c r="H227" s="10">
        <v>2023.0</v>
      </c>
      <c r="I227" s="10" t="s">
        <v>51</v>
      </c>
      <c r="J227" s="10">
        <v>123.67193143855877</v>
      </c>
      <c r="K227" s="11"/>
      <c r="L227" s="12"/>
      <c r="M227" s="9">
        <v>10.48643426517127</v>
      </c>
    </row>
    <row r="228">
      <c r="A228" s="10" t="s">
        <v>10</v>
      </c>
      <c r="B228" s="10" t="s">
        <v>11</v>
      </c>
      <c r="C228" s="10" t="s">
        <v>12</v>
      </c>
      <c r="D228" s="10" t="s">
        <v>13</v>
      </c>
      <c r="E228" s="10" t="s">
        <v>29</v>
      </c>
      <c r="F228" s="10">
        <v>220.0</v>
      </c>
      <c r="G228" s="10" t="str">
        <f>IFERROR(VLOOKUP(C228&amp;D228&amp;E228&amp;F228,productID!$A$2:$B$7,2,FALSE))</f>
        <v/>
      </c>
      <c r="H228" s="10">
        <v>2023.0</v>
      </c>
      <c r="I228" s="10" t="s">
        <v>52</v>
      </c>
      <c r="J228" s="10">
        <v>129.21542211711903</v>
      </c>
      <c r="K228" s="11"/>
      <c r="L228" s="12"/>
      <c r="M228" s="9">
        <v>10.211635754104826</v>
      </c>
    </row>
    <row r="229">
      <c r="A229" s="10" t="s">
        <v>10</v>
      </c>
      <c r="B229" s="10" t="s">
        <v>11</v>
      </c>
      <c r="C229" s="10" t="s">
        <v>12</v>
      </c>
      <c r="D229" s="10" t="s">
        <v>13</v>
      </c>
      <c r="E229" s="10" t="s">
        <v>29</v>
      </c>
      <c r="F229" s="10">
        <v>220.0</v>
      </c>
      <c r="G229" s="10" t="str">
        <f>IFERROR(VLOOKUP(C229&amp;D229&amp;E229&amp;F229,productID!$A$2:$B$7,2,FALSE))</f>
        <v/>
      </c>
      <c r="H229" s="10">
        <v>2023.0</v>
      </c>
      <c r="I229" s="10" t="s">
        <v>53</v>
      </c>
      <c r="J229" s="10">
        <v>128.9379952518035</v>
      </c>
      <c r="K229" s="11"/>
      <c r="L229" s="12"/>
      <c r="M229" s="9">
        <v>10.44450155929747</v>
      </c>
    </row>
    <row r="230">
      <c r="A230" s="10" t="s">
        <v>10</v>
      </c>
      <c r="B230" s="10" t="s">
        <v>11</v>
      </c>
      <c r="C230" s="10" t="s">
        <v>12</v>
      </c>
      <c r="D230" s="10" t="s">
        <v>13</v>
      </c>
      <c r="E230" s="10" t="s">
        <v>29</v>
      </c>
      <c r="F230" s="10">
        <v>220.0</v>
      </c>
      <c r="G230" s="10" t="str">
        <f>IFERROR(VLOOKUP(C230&amp;D230&amp;E230&amp;F230,productID!$A$2:$B$7,2,FALSE))</f>
        <v/>
      </c>
      <c r="H230" s="10">
        <v>2023.0</v>
      </c>
      <c r="I230" s="10" t="s">
        <v>54</v>
      </c>
      <c r="J230" s="10">
        <v>112.82282676791897</v>
      </c>
      <c r="K230" s="11"/>
      <c r="L230" s="12"/>
      <c r="M230" s="9">
        <v>9.70791570145808</v>
      </c>
    </row>
    <row r="231">
      <c r="A231" s="10" t="s">
        <v>24</v>
      </c>
      <c r="B231" s="10" t="s">
        <v>11</v>
      </c>
      <c r="C231" s="10" t="s">
        <v>12</v>
      </c>
      <c r="D231" s="10" t="s">
        <v>13</v>
      </c>
      <c r="E231" s="10" t="s">
        <v>29</v>
      </c>
      <c r="F231" s="10">
        <v>220.0</v>
      </c>
      <c r="G231" s="10" t="str">
        <f>IFERROR(VLOOKUP(C231&amp;D231&amp;E231&amp;F231,productID!$A$2:$B$7,2,FALSE))</f>
        <v/>
      </c>
      <c r="H231" s="10">
        <v>2022.0</v>
      </c>
      <c r="I231" s="10" t="s">
        <v>53</v>
      </c>
      <c r="J231" s="10">
        <v>3.1004080628896378</v>
      </c>
      <c r="K231" s="11"/>
      <c r="L231" s="12"/>
      <c r="M231" s="9">
        <v>0.3221609723429863</v>
      </c>
    </row>
    <row r="232">
      <c r="A232" s="10" t="s">
        <v>24</v>
      </c>
      <c r="B232" s="10" t="s">
        <v>11</v>
      </c>
      <c r="C232" s="10" t="s">
        <v>12</v>
      </c>
      <c r="D232" s="10" t="s">
        <v>13</v>
      </c>
      <c r="E232" s="10" t="s">
        <v>29</v>
      </c>
      <c r="F232" s="10">
        <v>220.0</v>
      </c>
      <c r="G232" s="10" t="str">
        <f>IFERROR(VLOOKUP(C232&amp;D232&amp;E232&amp;F232,productID!$A$2:$B$7,2,FALSE))</f>
        <v/>
      </c>
      <c r="H232" s="10">
        <v>2022.0</v>
      </c>
      <c r="I232" s="10" t="s">
        <v>54</v>
      </c>
      <c r="J232" s="10">
        <v>14.196260476879603</v>
      </c>
      <c r="K232" s="11"/>
      <c r="L232" s="12"/>
      <c r="M232" s="9">
        <v>1.5240135817892495</v>
      </c>
    </row>
    <row r="233">
      <c r="A233" s="10" t="s">
        <v>24</v>
      </c>
      <c r="B233" s="10" t="s">
        <v>11</v>
      </c>
      <c r="C233" s="10" t="s">
        <v>12</v>
      </c>
      <c r="D233" s="10" t="s">
        <v>13</v>
      </c>
      <c r="E233" s="10" t="s">
        <v>29</v>
      </c>
      <c r="F233" s="10">
        <v>220.0</v>
      </c>
      <c r="G233" s="10" t="str">
        <f>IFERROR(VLOOKUP(C233&amp;D233&amp;E233&amp;F233,productID!$A$2:$B$7,2,FALSE))</f>
        <v/>
      </c>
      <c r="H233" s="10">
        <v>2023.0</v>
      </c>
      <c r="I233" s="10" t="s">
        <v>51</v>
      </c>
      <c r="J233" s="10">
        <v>16.465848460161574</v>
      </c>
      <c r="K233" s="11"/>
      <c r="L233" s="12"/>
      <c r="M233" s="9">
        <v>1.7218973469047745</v>
      </c>
    </row>
    <row r="234">
      <c r="A234" s="10" t="s">
        <v>24</v>
      </c>
      <c r="B234" s="10" t="s">
        <v>11</v>
      </c>
      <c r="C234" s="10" t="s">
        <v>12</v>
      </c>
      <c r="D234" s="10" t="s">
        <v>13</v>
      </c>
      <c r="E234" s="10" t="s">
        <v>29</v>
      </c>
      <c r="F234" s="10">
        <v>220.0</v>
      </c>
      <c r="G234" s="10" t="str">
        <f>IFERROR(VLOOKUP(C234&amp;D234&amp;E234&amp;F234,productID!$A$2:$B$7,2,FALSE))</f>
        <v/>
      </c>
      <c r="H234" s="10">
        <v>2023.0</v>
      </c>
      <c r="I234" s="10" t="s">
        <v>52</v>
      </c>
      <c r="J234" s="10">
        <v>21.65687577902471</v>
      </c>
      <c r="K234" s="11"/>
      <c r="L234" s="12"/>
      <c r="M234" s="9">
        <v>2.235051388622674</v>
      </c>
    </row>
    <row r="235">
      <c r="A235" s="10" t="s">
        <v>24</v>
      </c>
      <c r="B235" s="10" t="s">
        <v>11</v>
      </c>
      <c r="C235" s="10" t="s">
        <v>12</v>
      </c>
      <c r="D235" s="10" t="s">
        <v>13</v>
      </c>
      <c r="E235" s="10" t="s">
        <v>29</v>
      </c>
      <c r="F235" s="10">
        <v>220.0</v>
      </c>
      <c r="G235" s="10" t="str">
        <f>IFERROR(VLOOKUP(C235&amp;D235&amp;E235&amp;F235,productID!$A$2:$B$7,2,FALSE))</f>
        <v/>
      </c>
      <c r="H235" s="10">
        <v>2023.0</v>
      </c>
      <c r="I235" s="10" t="s">
        <v>53</v>
      </c>
      <c r="J235" s="10">
        <v>19.226437105608838</v>
      </c>
      <c r="K235" s="11"/>
      <c r="L235" s="12"/>
      <c r="M235" s="9">
        <v>2.1119738832211663</v>
      </c>
    </row>
    <row r="236">
      <c r="A236" s="10" t="s">
        <v>24</v>
      </c>
      <c r="B236" s="10" t="s">
        <v>11</v>
      </c>
      <c r="C236" s="10" t="s">
        <v>12</v>
      </c>
      <c r="D236" s="10" t="s">
        <v>13</v>
      </c>
      <c r="E236" s="10" t="s">
        <v>29</v>
      </c>
      <c r="F236" s="10">
        <v>220.0</v>
      </c>
      <c r="G236" s="10" t="str">
        <f>IFERROR(VLOOKUP(C236&amp;D236&amp;E236&amp;F236,productID!$A$2:$B$7,2,FALSE))</f>
        <v/>
      </c>
      <c r="H236" s="10">
        <v>2023.0</v>
      </c>
      <c r="I236" s="10" t="s">
        <v>54</v>
      </c>
      <c r="J236" s="10">
        <v>13.337201164219804</v>
      </c>
      <c r="K236" s="11"/>
      <c r="L236" s="12"/>
      <c r="M236" s="9">
        <v>1.6913621633126843</v>
      </c>
    </row>
    <row r="237">
      <c r="A237" s="10" t="s">
        <v>25</v>
      </c>
      <c r="B237" s="10" t="s">
        <v>11</v>
      </c>
      <c r="C237" s="10" t="s">
        <v>12</v>
      </c>
      <c r="D237" s="10" t="s">
        <v>13</v>
      </c>
      <c r="E237" s="10" t="s">
        <v>29</v>
      </c>
      <c r="F237" s="10">
        <v>220.0</v>
      </c>
      <c r="G237" s="10" t="str">
        <f>IFERROR(VLOOKUP(C237&amp;D237&amp;E237&amp;F237,productID!$A$2:$B$7,2,FALSE))</f>
        <v/>
      </c>
      <c r="H237" s="10">
        <v>2022.0</v>
      </c>
      <c r="I237" s="10" t="s">
        <v>51</v>
      </c>
      <c r="J237" s="10">
        <v>88.31075829073174</v>
      </c>
      <c r="K237" s="11"/>
      <c r="L237" s="12"/>
      <c r="M237" s="9">
        <v>9.036723892575763</v>
      </c>
    </row>
    <row r="238">
      <c r="A238" s="10" t="s">
        <v>25</v>
      </c>
      <c r="B238" s="10" t="s">
        <v>11</v>
      </c>
      <c r="C238" s="10" t="s">
        <v>12</v>
      </c>
      <c r="D238" s="10" t="s">
        <v>13</v>
      </c>
      <c r="E238" s="10" t="s">
        <v>29</v>
      </c>
      <c r="F238" s="10">
        <v>220.0</v>
      </c>
      <c r="G238" s="10" t="str">
        <f>IFERROR(VLOOKUP(C238&amp;D238&amp;E238&amp;F238,productID!$A$2:$B$7,2,FALSE))</f>
        <v/>
      </c>
      <c r="H238" s="10">
        <v>2022.0</v>
      </c>
      <c r="I238" s="10" t="s">
        <v>52</v>
      </c>
      <c r="J238" s="10">
        <v>82.4567941938412</v>
      </c>
      <c r="K238" s="11"/>
      <c r="L238" s="12"/>
      <c r="M238" s="9">
        <v>8.363362407075703</v>
      </c>
    </row>
    <row r="239">
      <c r="A239" s="10" t="s">
        <v>25</v>
      </c>
      <c r="B239" s="10" t="s">
        <v>11</v>
      </c>
      <c r="C239" s="10" t="s">
        <v>12</v>
      </c>
      <c r="D239" s="10" t="s">
        <v>13</v>
      </c>
      <c r="E239" s="10" t="s">
        <v>29</v>
      </c>
      <c r="F239" s="10">
        <v>220.0</v>
      </c>
      <c r="G239" s="10" t="str">
        <f>IFERROR(VLOOKUP(C239&amp;D239&amp;E239&amp;F239,productID!$A$2:$B$7,2,FALSE))</f>
        <v/>
      </c>
      <c r="H239" s="10">
        <v>2022.0</v>
      </c>
      <c r="I239" s="10" t="s">
        <v>53</v>
      </c>
      <c r="J239" s="10">
        <v>83.07944317708193</v>
      </c>
      <c r="K239" s="11"/>
      <c r="L239" s="12"/>
      <c r="M239" s="9">
        <v>8.10310490933453</v>
      </c>
    </row>
    <row r="240">
      <c r="A240" s="10" t="s">
        <v>25</v>
      </c>
      <c r="B240" s="10" t="s">
        <v>11</v>
      </c>
      <c r="C240" s="10" t="s">
        <v>12</v>
      </c>
      <c r="D240" s="10" t="s">
        <v>13</v>
      </c>
      <c r="E240" s="10" t="s">
        <v>29</v>
      </c>
      <c r="F240" s="10">
        <v>220.0</v>
      </c>
      <c r="G240" s="10" t="str">
        <f>IFERROR(VLOOKUP(C240&amp;D240&amp;E240&amp;F240,productID!$A$2:$B$7,2,FALSE))</f>
        <v/>
      </c>
      <c r="H240" s="10">
        <v>2022.0</v>
      </c>
      <c r="I240" s="10" t="s">
        <v>54</v>
      </c>
      <c r="J240" s="10">
        <v>90.57389623613444</v>
      </c>
      <c r="K240" s="11"/>
      <c r="L240" s="12"/>
      <c r="M240" s="9">
        <v>8.714277795342985</v>
      </c>
    </row>
    <row r="241">
      <c r="A241" s="10" t="s">
        <v>25</v>
      </c>
      <c r="B241" s="10" t="s">
        <v>11</v>
      </c>
      <c r="C241" s="10" t="s">
        <v>12</v>
      </c>
      <c r="D241" s="10" t="s">
        <v>13</v>
      </c>
      <c r="E241" s="10" t="s">
        <v>29</v>
      </c>
      <c r="F241" s="10">
        <v>220.0</v>
      </c>
      <c r="G241" s="10" t="str">
        <f>IFERROR(VLOOKUP(C241&amp;D241&amp;E241&amp;F241,productID!$A$2:$B$7,2,FALSE))</f>
        <v/>
      </c>
      <c r="H241" s="10">
        <v>2023.0</v>
      </c>
      <c r="I241" s="10" t="s">
        <v>51</v>
      </c>
      <c r="J241" s="10">
        <v>96.21099045425508</v>
      </c>
      <c r="K241" s="11"/>
      <c r="L241" s="12"/>
      <c r="M241" s="9">
        <v>8.761265118035105</v>
      </c>
    </row>
    <row r="242">
      <c r="A242" s="10" t="s">
        <v>25</v>
      </c>
      <c r="B242" s="10" t="s">
        <v>11</v>
      </c>
      <c r="C242" s="10" t="s">
        <v>12</v>
      </c>
      <c r="D242" s="10" t="s">
        <v>13</v>
      </c>
      <c r="E242" s="10" t="s">
        <v>29</v>
      </c>
      <c r="F242" s="10">
        <v>220.0</v>
      </c>
      <c r="G242" s="10" t="str">
        <f>IFERROR(VLOOKUP(C242&amp;D242&amp;E242&amp;F242,productID!$A$2:$B$7,2,FALSE))</f>
        <v/>
      </c>
      <c r="H242" s="10">
        <v>2023.0</v>
      </c>
      <c r="I242" s="10" t="s">
        <v>52</v>
      </c>
      <c r="J242" s="10">
        <v>100.86082630494751</v>
      </c>
      <c r="K242" s="11"/>
      <c r="L242" s="12"/>
      <c r="M242" s="9">
        <v>9.055877847432939</v>
      </c>
    </row>
    <row r="243">
      <c r="A243" s="10" t="s">
        <v>25</v>
      </c>
      <c r="B243" s="10" t="s">
        <v>11</v>
      </c>
      <c r="C243" s="10" t="s">
        <v>12</v>
      </c>
      <c r="D243" s="10" t="s">
        <v>13</v>
      </c>
      <c r="E243" s="10" t="s">
        <v>29</v>
      </c>
      <c r="F243" s="10">
        <v>220.0</v>
      </c>
      <c r="G243" s="10" t="str">
        <f>IFERROR(VLOOKUP(C243&amp;D243&amp;E243&amp;F243,productID!$A$2:$B$7,2,FALSE))</f>
        <v/>
      </c>
      <c r="H243" s="10">
        <v>2023.0</v>
      </c>
      <c r="I243" s="10" t="s">
        <v>53</v>
      </c>
      <c r="J243" s="10">
        <v>98.79099481400478</v>
      </c>
      <c r="K243" s="11"/>
      <c r="L243" s="12"/>
      <c r="M243" s="9">
        <v>9.415373616239178</v>
      </c>
    </row>
    <row r="244">
      <c r="A244" s="10" t="s">
        <v>25</v>
      </c>
      <c r="B244" s="10" t="s">
        <v>11</v>
      </c>
      <c r="C244" s="10" t="s">
        <v>12</v>
      </c>
      <c r="D244" s="10" t="s">
        <v>13</v>
      </c>
      <c r="E244" s="10" t="s">
        <v>29</v>
      </c>
      <c r="F244" s="10">
        <v>220.0</v>
      </c>
      <c r="G244" s="10" t="str">
        <f>IFERROR(VLOOKUP(C244&amp;D244&amp;E244&amp;F244,productID!$A$2:$B$7,2,FALSE))</f>
        <v/>
      </c>
      <c r="H244" s="10">
        <v>2023.0</v>
      </c>
      <c r="I244" s="10" t="s">
        <v>54</v>
      </c>
      <c r="J244" s="10">
        <v>87.3443164240044</v>
      </c>
      <c r="K244" s="11"/>
      <c r="L244" s="12"/>
      <c r="M244" s="9">
        <v>8.889966726817566</v>
      </c>
    </row>
    <row r="245">
      <c r="A245" s="10" t="s">
        <v>26</v>
      </c>
      <c r="B245" s="10" t="s">
        <v>11</v>
      </c>
      <c r="C245" s="10" t="s">
        <v>12</v>
      </c>
      <c r="D245" s="10" t="s">
        <v>13</v>
      </c>
      <c r="E245" s="10" t="s">
        <v>29</v>
      </c>
      <c r="F245" s="10">
        <v>220.0</v>
      </c>
      <c r="G245" s="10" t="str">
        <f>IFERROR(VLOOKUP(C245&amp;D245&amp;E245&amp;F245,productID!$A$2:$B$7,2,FALSE))</f>
        <v/>
      </c>
      <c r="H245" s="10">
        <v>2022.0</v>
      </c>
      <c r="I245" s="10" t="s">
        <v>51</v>
      </c>
      <c r="J245" s="10">
        <v>495.0377854630209</v>
      </c>
      <c r="K245" s="11"/>
      <c r="L245" s="12"/>
      <c r="M245" s="9">
        <v>23.9645443886204</v>
      </c>
    </row>
    <row r="246">
      <c r="A246" s="10" t="s">
        <v>26</v>
      </c>
      <c r="B246" s="10" t="s">
        <v>11</v>
      </c>
      <c r="C246" s="10" t="s">
        <v>12</v>
      </c>
      <c r="D246" s="10" t="s">
        <v>13</v>
      </c>
      <c r="E246" s="10" t="s">
        <v>29</v>
      </c>
      <c r="F246" s="10">
        <v>220.0</v>
      </c>
      <c r="G246" s="10" t="str">
        <f>IFERROR(VLOOKUP(C246&amp;D246&amp;E246&amp;F246,productID!$A$2:$B$7,2,FALSE))</f>
        <v/>
      </c>
      <c r="H246" s="10">
        <v>2022.0</v>
      </c>
      <c r="I246" s="10" t="s">
        <v>52</v>
      </c>
      <c r="J246" s="10">
        <v>512.3245341613436</v>
      </c>
      <c r="K246" s="11"/>
      <c r="L246" s="12"/>
      <c r="M246" s="9">
        <v>24.39672743655689</v>
      </c>
    </row>
    <row r="247">
      <c r="A247" s="10" t="s">
        <v>26</v>
      </c>
      <c r="B247" s="10" t="s">
        <v>11</v>
      </c>
      <c r="C247" s="10" t="s">
        <v>12</v>
      </c>
      <c r="D247" s="10" t="s">
        <v>13</v>
      </c>
      <c r="E247" s="10" t="s">
        <v>29</v>
      </c>
      <c r="F247" s="10">
        <v>220.0</v>
      </c>
      <c r="G247" s="10" t="str">
        <f>IFERROR(VLOOKUP(C247&amp;D247&amp;E247&amp;F247,productID!$A$2:$B$7,2,FALSE))</f>
        <v/>
      </c>
      <c r="H247" s="10">
        <v>2022.0</v>
      </c>
      <c r="I247" s="10" t="s">
        <v>53</v>
      </c>
      <c r="J247" s="10">
        <v>484.78013721837357</v>
      </c>
      <c r="K247" s="11"/>
      <c r="L247" s="12"/>
      <c r="M247" s="9">
        <v>23.145535221573613</v>
      </c>
    </row>
    <row r="248">
      <c r="A248" s="10" t="s">
        <v>26</v>
      </c>
      <c r="B248" s="10" t="s">
        <v>11</v>
      </c>
      <c r="C248" s="10" t="s">
        <v>12</v>
      </c>
      <c r="D248" s="10" t="s">
        <v>13</v>
      </c>
      <c r="E248" s="10" t="s">
        <v>29</v>
      </c>
      <c r="F248" s="10">
        <v>220.0</v>
      </c>
      <c r="G248" s="10" t="str">
        <f>IFERROR(VLOOKUP(C248&amp;D248&amp;E248&amp;F248,productID!$A$2:$B$7,2,FALSE))</f>
        <v/>
      </c>
      <c r="H248" s="10">
        <v>2022.0</v>
      </c>
      <c r="I248" s="10" t="s">
        <v>54</v>
      </c>
      <c r="J248" s="10">
        <v>507.3537420711037</v>
      </c>
      <c r="K248" s="11"/>
      <c r="L248" s="12"/>
      <c r="M248" s="9">
        <v>23.76559240493472</v>
      </c>
    </row>
    <row r="249">
      <c r="A249" s="10" t="s">
        <v>26</v>
      </c>
      <c r="B249" s="10" t="s">
        <v>11</v>
      </c>
      <c r="C249" s="10" t="s">
        <v>12</v>
      </c>
      <c r="D249" s="10" t="s">
        <v>13</v>
      </c>
      <c r="E249" s="10" t="s">
        <v>29</v>
      </c>
      <c r="F249" s="10">
        <v>220.0</v>
      </c>
      <c r="G249" s="10" t="str">
        <f>IFERROR(VLOOKUP(C249&amp;D249&amp;E249&amp;F249,productID!$A$2:$B$7,2,FALSE))</f>
        <v/>
      </c>
      <c r="H249" s="10">
        <v>2023.0</v>
      </c>
      <c r="I249" s="10" t="s">
        <v>51</v>
      </c>
      <c r="J249" s="10">
        <v>508.6054469689358</v>
      </c>
      <c r="K249" s="11"/>
      <c r="L249" s="12"/>
      <c r="M249" s="9">
        <v>23.588779949828417</v>
      </c>
    </row>
    <row r="250">
      <c r="A250" s="10" t="s">
        <v>26</v>
      </c>
      <c r="B250" s="10" t="s">
        <v>11</v>
      </c>
      <c r="C250" s="10" t="s">
        <v>12</v>
      </c>
      <c r="D250" s="10" t="s">
        <v>13</v>
      </c>
      <c r="E250" s="10" t="s">
        <v>29</v>
      </c>
      <c r="F250" s="10">
        <v>220.0</v>
      </c>
      <c r="G250" s="10" t="str">
        <f>IFERROR(VLOOKUP(C250&amp;D250&amp;E250&amp;F250,productID!$A$2:$B$7,2,FALSE))</f>
        <v/>
      </c>
      <c r="H250" s="10">
        <v>2023.0</v>
      </c>
      <c r="I250" s="10" t="s">
        <v>52</v>
      </c>
      <c r="J250" s="10">
        <v>541.4599759569314</v>
      </c>
      <c r="K250" s="11"/>
      <c r="L250" s="12"/>
      <c r="M250" s="9">
        <v>24.299484712380398</v>
      </c>
    </row>
    <row r="251">
      <c r="A251" s="10" t="s">
        <v>26</v>
      </c>
      <c r="B251" s="10" t="s">
        <v>11</v>
      </c>
      <c r="C251" s="10" t="s">
        <v>12</v>
      </c>
      <c r="D251" s="10" t="s">
        <v>13</v>
      </c>
      <c r="E251" s="10" t="s">
        <v>29</v>
      </c>
      <c r="F251" s="10">
        <v>220.0</v>
      </c>
      <c r="G251" s="10" t="str">
        <f>IFERROR(VLOOKUP(C251&amp;D251&amp;E251&amp;F251,productID!$A$2:$B$7,2,FALSE))</f>
        <v/>
      </c>
      <c r="H251" s="10">
        <v>2023.0</v>
      </c>
      <c r="I251" s="10" t="s">
        <v>53</v>
      </c>
      <c r="J251" s="10">
        <v>524.8437877342952</v>
      </c>
      <c r="K251" s="11"/>
      <c r="L251" s="12"/>
      <c r="M251" s="9">
        <v>24.08335717699816</v>
      </c>
    </row>
    <row r="252">
      <c r="A252" s="10" t="s">
        <v>26</v>
      </c>
      <c r="B252" s="10" t="s">
        <v>11</v>
      </c>
      <c r="C252" s="10" t="s">
        <v>12</v>
      </c>
      <c r="D252" s="10" t="s">
        <v>13</v>
      </c>
      <c r="E252" s="10" t="s">
        <v>29</v>
      </c>
      <c r="F252" s="10">
        <v>220.0</v>
      </c>
      <c r="G252" s="10" t="str">
        <f>IFERROR(VLOOKUP(C252&amp;D252&amp;E252&amp;F252,productID!$A$2:$B$7,2,FALSE))</f>
        <v/>
      </c>
      <c r="H252" s="10">
        <v>2023.0</v>
      </c>
      <c r="I252" s="10" t="s">
        <v>54</v>
      </c>
      <c r="J252" s="10">
        <v>506.6176422704451</v>
      </c>
      <c r="K252" s="11"/>
      <c r="L252" s="12"/>
      <c r="M252" s="9">
        <v>24.0927617004296</v>
      </c>
    </row>
    <row r="253">
      <c r="A253" s="10" t="s">
        <v>10</v>
      </c>
      <c r="B253" s="10" t="s">
        <v>11</v>
      </c>
      <c r="C253" s="10" t="s">
        <v>27</v>
      </c>
      <c r="D253" s="10" t="s">
        <v>30</v>
      </c>
      <c r="E253" s="10" t="s">
        <v>14</v>
      </c>
      <c r="F253" s="10">
        <v>1000.0</v>
      </c>
      <c r="G253" s="10" t="str">
        <f>IFERROR(VLOOKUP(C253&amp;D253&amp;E253&amp;F253,productID!$A$2:$B$7,2,FALSE))</f>
        <v/>
      </c>
      <c r="H253" s="10">
        <v>2022.0</v>
      </c>
      <c r="I253" s="10" t="s">
        <v>51</v>
      </c>
      <c r="J253" s="10">
        <v>50.023112513126875</v>
      </c>
      <c r="K253" s="11"/>
      <c r="L253" s="12"/>
      <c r="M253" s="9">
        <v>4.383926444633142</v>
      </c>
    </row>
    <row r="254">
      <c r="A254" s="10" t="s">
        <v>10</v>
      </c>
      <c r="B254" s="10" t="s">
        <v>11</v>
      </c>
      <c r="C254" s="10" t="s">
        <v>27</v>
      </c>
      <c r="D254" s="10" t="s">
        <v>30</v>
      </c>
      <c r="E254" s="10" t="s">
        <v>14</v>
      </c>
      <c r="F254" s="10">
        <v>1000.0</v>
      </c>
      <c r="G254" s="10" t="str">
        <f>IFERROR(VLOOKUP(C254&amp;D254&amp;E254&amp;F254,productID!$A$2:$B$7,2,FALSE))</f>
        <v/>
      </c>
      <c r="H254" s="10">
        <v>2022.0</v>
      </c>
      <c r="I254" s="10" t="s">
        <v>52</v>
      </c>
      <c r="J254" s="10">
        <v>49.787248772136095</v>
      </c>
      <c r="K254" s="11"/>
      <c r="L254" s="12"/>
      <c r="M254" s="9">
        <v>4.345230849900594</v>
      </c>
    </row>
    <row r="255">
      <c r="A255" s="10" t="s">
        <v>10</v>
      </c>
      <c r="B255" s="10" t="s">
        <v>11</v>
      </c>
      <c r="C255" s="10" t="s">
        <v>27</v>
      </c>
      <c r="D255" s="10" t="s">
        <v>30</v>
      </c>
      <c r="E255" s="10" t="s">
        <v>14</v>
      </c>
      <c r="F255" s="10">
        <v>1000.0</v>
      </c>
      <c r="G255" s="10" t="str">
        <f>IFERROR(VLOOKUP(C255&amp;D255&amp;E255&amp;F255,productID!$A$2:$B$7,2,FALSE))</f>
        <v/>
      </c>
      <c r="H255" s="10">
        <v>2022.0</v>
      </c>
      <c r="I255" s="10" t="s">
        <v>53</v>
      </c>
      <c r="J255" s="10">
        <v>47.84863282902724</v>
      </c>
      <c r="K255" s="11"/>
      <c r="L255" s="12"/>
      <c r="M255" s="9">
        <v>4.1825149757028335</v>
      </c>
    </row>
    <row r="256">
      <c r="A256" s="10" t="s">
        <v>10</v>
      </c>
      <c r="B256" s="10" t="s">
        <v>11</v>
      </c>
      <c r="C256" s="10" t="s">
        <v>27</v>
      </c>
      <c r="D256" s="10" t="s">
        <v>30</v>
      </c>
      <c r="E256" s="10" t="s">
        <v>14</v>
      </c>
      <c r="F256" s="10">
        <v>1000.0</v>
      </c>
      <c r="G256" s="10" t="str">
        <f>IFERROR(VLOOKUP(C256&amp;D256&amp;E256&amp;F256,productID!$A$2:$B$7,2,FALSE))</f>
        <v/>
      </c>
      <c r="H256" s="10">
        <v>2022.0</v>
      </c>
      <c r="I256" s="10" t="s">
        <v>54</v>
      </c>
      <c r="J256" s="10">
        <v>42.65224017457237</v>
      </c>
      <c r="K256" s="11"/>
      <c r="L256" s="12"/>
      <c r="M256" s="9">
        <v>3.8625229838335273</v>
      </c>
    </row>
    <row r="257">
      <c r="A257" s="10" t="s">
        <v>10</v>
      </c>
      <c r="B257" s="10" t="s">
        <v>11</v>
      </c>
      <c r="C257" s="10" t="s">
        <v>27</v>
      </c>
      <c r="D257" s="10" t="s">
        <v>30</v>
      </c>
      <c r="E257" s="10" t="s">
        <v>14</v>
      </c>
      <c r="F257" s="10">
        <v>1000.0</v>
      </c>
      <c r="G257" s="10" t="str">
        <f>IFERROR(VLOOKUP(C257&amp;D257&amp;E257&amp;F257,productID!$A$2:$B$7,2,FALSE))</f>
        <v/>
      </c>
      <c r="H257" s="10">
        <v>2023.0</v>
      </c>
      <c r="I257" s="10" t="s">
        <v>51</v>
      </c>
      <c r="J257" s="10">
        <v>46.84093151581959</v>
      </c>
      <c r="K257" s="11"/>
      <c r="L257" s="12"/>
      <c r="M257" s="9">
        <v>3.971752875098104</v>
      </c>
    </row>
    <row r="258">
      <c r="A258" s="10" t="s">
        <v>10</v>
      </c>
      <c r="B258" s="10" t="s">
        <v>11</v>
      </c>
      <c r="C258" s="10" t="s">
        <v>27</v>
      </c>
      <c r="D258" s="10" t="s">
        <v>30</v>
      </c>
      <c r="E258" s="10" t="s">
        <v>14</v>
      </c>
      <c r="F258" s="10">
        <v>1000.0</v>
      </c>
      <c r="G258" s="10" t="str">
        <f>IFERROR(VLOOKUP(C258&amp;D258&amp;E258&amp;F258,productID!$A$2:$B$7,2,FALSE))</f>
        <v/>
      </c>
      <c r="H258" s="10">
        <v>2023.0</v>
      </c>
      <c r="I258" s="10" t="s">
        <v>52</v>
      </c>
      <c r="J258" s="10">
        <v>48.962679474138696</v>
      </c>
      <c r="K258" s="11"/>
      <c r="L258" s="12"/>
      <c r="M258" s="9">
        <v>3.869422396667993</v>
      </c>
    </row>
    <row r="259">
      <c r="A259" s="10" t="s">
        <v>10</v>
      </c>
      <c r="B259" s="10" t="s">
        <v>11</v>
      </c>
      <c r="C259" s="10" t="s">
        <v>27</v>
      </c>
      <c r="D259" s="10" t="s">
        <v>30</v>
      </c>
      <c r="E259" s="10" t="s">
        <v>14</v>
      </c>
      <c r="F259" s="10">
        <v>1000.0</v>
      </c>
      <c r="G259" s="10" t="str">
        <f>IFERROR(VLOOKUP(C259&amp;D259&amp;E259&amp;F259,productID!$A$2:$B$7,2,FALSE))</f>
        <v/>
      </c>
      <c r="H259" s="10">
        <v>2023.0</v>
      </c>
      <c r="I259" s="10" t="s">
        <v>53</v>
      </c>
      <c r="J259" s="10">
        <v>46.31501608705018</v>
      </c>
      <c r="K259" s="11"/>
      <c r="L259" s="12"/>
      <c r="M259" s="9">
        <v>3.75170450568423</v>
      </c>
    </row>
    <row r="260">
      <c r="A260" s="10" t="s">
        <v>10</v>
      </c>
      <c r="B260" s="10" t="s">
        <v>11</v>
      </c>
      <c r="C260" s="10" t="s">
        <v>27</v>
      </c>
      <c r="D260" s="10" t="s">
        <v>30</v>
      </c>
      <c r="E260" s="10" t="s">
        <v>14</v>
      </c>
      <c r="F260" s="10">
        <v>1000.0</v>
      </c>
      <c r="G260" s="10" t="str">
        <f>IFERROR(VLOOKUP(C260&amp;D260&amp;E260&amp;F260,productID!$A$2:$B$7,2,FALSE))</f>
        <v/>
      </c>
      <c r="H260" s="10">
        <v>2023.0</v>
      </c>
      <c r="I260" s="10" t="s">
        <v>54</v>
      </c>
      <c r="J260" s="10">
        <v>39.12742479188234</v>
      </c>
      <c r="K260" s="11"/>
      <c r="L260" s="12"/>
      <c r="M260" s="9">
        <v>3.3667454749746035</v>
      </c>
    </row>
    <row r="261">
      <c r="A261" s="10" t="s">
        <v>24</v>
      </c>
      <c r="B261" s="10" t="s">
        <v>11</v>
      </c>
      <c r="C261" s="10" t="s">
        <v>27</v>
      </c>
      <c r="D261" s="10" t="s">
        <v>30</v>
      </c>
      <c r="E261" s="10" t="s">
        <v>14</v>
      </c>
      <c r="F261" s="10">
        <v>1000.0</v>
      </c>
      <c r="G261" s="10" t="str">
        <f>IFERROR(VLOOKUP(C261&amp;D261&amp;E261&amp;F261,productID!$A$2:$B$7,2,FALSE))</f>
        <v/>
      </c>
      <c r="H261" s="10">
        <v>2022.0</v>
      </c>
      <c r="I261" s="10" t="s">
        <v>51</v>
      </c>
      <c r="J261" s="10">
        <v>9.647762357131256</v>
      </c>
      <c r="K261" s="11"/>
      <c r="L261" s="12"/>
      <c r="M261" s="9">
        <v>1.0775025582539133</v>
      </c>
    </row>
    <row r="262">
      <c r="A262" s="10" t="s">
        <v>24</v>
      </c>
      <c r="B262" s="10" t="s">
        <v>11</v>
      </c>
      <c r="C262" s="10" t="s">
        <v>27</v>
      </c>
      <c r="D262" s="10" t="s">
        <v>30</v>
      </c>
      <c r="E262" s="10" t="s">
        <v>14</v>
      </c>
      <c r="F262" s="10">
        <v>1000.0</v>
      </c>
      <c r="G262" s="10" t="str">
        <f>IFERROR(VLOOKUP(C262&amp;D262&amp;E262&amp;F262,productID!$A$2:$B$7,2,FALSE))</f>
        <v/>
      </c>
      <c r="H262" s="10">
        <v>2022.0</v>
      </c>
      <c r="I262" s="10" t="s">
        <v>52</v>
      </c>
      <c r="J262" s="10">
        <v>14.27185745289756</v>
      </c>
      <c r="K262" s="11"/>
      <c r="L262" s="12"/>
      <c r="M262" s="9">
        <v>1.5236430584106337</v>
      </c>
    </row>
    <row r="263">
      <c r="A263" s="10" t="s">
        <v>24</v>
      </c>
      <c r="B263" s="10" t="s">
        <v>11</v>
      </c>
      <c r="C263" s="10" t="s">
        <v>27</v>
      </c>
      <c r="D263" s="10" t="s">
        <v>30</v>
      </c>
      <c r="E263" s="10" t="s">
        <v>14</v>
      </c>
      <c r="F263" s="10">
        <v>1000.0</v>
      </c>
      <c r="G263" s="10" t="str">
        <f>IFERROR(VLOOKUP(C263&amp;D263&amp;E263&amp;F263,productID!$A$2:$B$7,2,FALSE))</f>
        <v/>
      </c>
      <c r="H263" s="10">
        <v>2022.0</v>
      </c>
      <c r="I263" s="10" t="s">
        <v>53</v>
      </c>
      <c r="J263" s="10">
        <v>13.362951538165317</v>
      </c>
      <c r="K263" s="11"/>
      <c r="L263" s="12"/>
      <c r="M263" s="9">
        <v>1.3885338231559055</v>
      </c>
    </row>
    <row r="264">
      <c r="A264" s="10" t="s">
        <v>24</v>
      </c>
      <c r="B264" s="10" t="s">
        <v>11</v>
      </c>
      <c r="C264" s="10" t="s">
        <v>27</v>
      </c>
      <c r="D264" s="10" t="s">
        <v>30</v>
      </c>
      <c r="E264" s="10" t="s">
        <v>14</v>
      </c>
      <c r="F264" s="10">
        <v>1000.0</v>
      </c>
      <c r="G264" s="10" t="str">
        <f>IFERROR(VLOOKUP(C264&amp;D264&amp;E264&amp;F264,productID!$A$2:$B$7,2,FALSE))</f>
        <v/>
      </c>
      <c r="H264" s="10">
        <v>2022.0</v>
      </c>
      <c r="I264" s="10" t="s">
        <v>54</v>
      </c>
      <c r="J264" s="10">
        <v>10.069744009749328</v>
      </c>
      <c r="K264" s="11"/>
      <c r="L264" s="12"/>
      <c r="M264" s="9">
        <v>1.0810189529131633</v>
      </c>
    </row>
    <row r="265">
      <c r="A265" s="10" t="s">
        <v>24</v>
      </c>
      <c r="B265" s="10" t="s">
        <v>11</v>
      </c>
      <c r="C265" s="10" t="s">
        <v>27</v>
      </c>
      <c r="D265" s="10" t="s">
        <v>30</v>
      </c>
      <c r="E265" s="10" t="s">
        <v>14</v>
      </c>
      <c r="F265" s="10">
        <v>1000.0</v>
      </c>
      <c r="G265" s="10" t="str">
        <f>IFERROR(VLOOKUP(C265&amp;D265&amp;E265&amp;F265,productID!$A$2:$B$7,2,FALSE))</f>
        <v/>
      </c>
      <c r="H265" s="10">
        <v>2023.0</v>
      </c>
      <c r="I265" s="10" t="s">
        <v>51</v>
      </c>
      <c r="J265" s="10">
        <v>10.630492072883207</v>
      </c>
      <c r="K265" s="11"/>
      <c r="L265" s="12"/>
      <c r="M265" s="9">
        <v>1.1116715996067301</v>
      </c>
    </row>
    <row r="266">
      <c r="A266" s="10" t="s">
        <v>24</v>
      </c>
      <c r="B266" s="10" t="s">
        <v>11</v>
      </c>
      <c r="C266" s="10" t="s">
        <v>27</v>
      </c>
      <c r="D266" s="10" t="s">
        <v>30</v>
      </c>
      <c r="E266" s="10" t="s">
        <v>14</v>
      </c>
      <c r="F266" s="10">
        <v>1000.0</v>
      </c>
      <c r="G266" s="10" t="str">
        <f>IFERROR(VLOOKUP(C266&amp;D266&amp;E266&amp;F266,productID!$A$2:$B$7,2,FALSE))</f>
        <v/>
      </c>
      <c r="H266" s="10">
        <v>2023.0</v>
      </c>
      <c r="I266" s="10" t="s">
        <v>52</v>
      </c>
      <c r="J266" s="10">
        <v>12.203705431943275</v>
      </c>
      <c r="K266" s="11"/>
      <c r="L266" s="12"/>
      <c r="M266" s="9">
        <v>1.2594572296722673</v>
      </c>
    </row>
    <row r="267">
      <c r="A267" s="10" t="s">
        <v>24</v>
      </c>
      <c r="B267" s="10" t="s">
        <v>11</v>
      </c>
      <c r="C267" s="10" t="s">
        <v>27</v>
      </c>
      <c r="D267" s="10" t="s">
        <v>30</v>
      </c>
      <c r="E267" s="10" t="s">
        <v>14</v>
      </c>
      <c r="F267" s="10">
        <v>1000.0</v>
      </c>
      <c r="G267" s="10" t="str">
        <f>IFERROR(VLOOKUP(C267&amp;D267&amp;E267&amp;F267,productID!$A$2:$B$7,2,FALSE))</f>
        <v/>
      </c>
      <c r="H267" s="10">
        <v>2023.0</v>
      </c>
      <c r="I267" s="10" t="s">
        <v>53</v>
      </c>
      <c r="J267" s="10">
        <v>10.420564085226054</v>
      </c>
      <c r="K267" s="11"/>
      <c r="L267" s="12"/>
      <c r="M267" s="9">
        <v>1.1446717389988814</v>
      </c>
    </row>
    <row r="268">
      <c r="A268" s="10" t="s">
        <v>24</v>
      </c>
      <c r="B268" s="10" t="s">
        <v>11</v>
      </c>
      <c r="C268" s="10" t="s">
        <v>27</v>
      </c>
      <c r="D268" s="10" t="s">
        <v>30</v>
      </c>
      <c r="E268" s="10" t="s">
        <v>14</v>
      </c>
      <c r="F268" s="10">
        <v>1000.0</v>
      </c>
      <c r="G268" s="10" t="str">
        <f>IFERROR(VLOOKUP(C268&amp;D268&amp;E268&amp;F268,productID!$A$2:$B$7,2,FALSE))</f>
        <v/>
      </c>
      <c r="H268" s="10">
        <v>2023.0</v>
      </c>
      <c r="I268" s="10" t="s">
        <v>54</v>
      </c>
      <c r="J268" s="10">
        <v>7.420305254912237</v>
      </c>
      <c r="K268" s="11"/>
      <c r="L268" s="12"/>
      <c r="M268" s="9">
        <v>0.9410087914140726</v>
      </c>
    </row>
    <row r="269">
      <c r="A269" s="10" t="s">
        <v>25</v>
      </c>
      <c r="B269" s="10" t="s">
        <v>11</v>
      </c>
      <c r="C269" s="10" t="s">
        <v>27</v>
      </c>
      <c r="D269" s="10" t="s">
        <v>30</v>
      </c>
      <c r="E269" s="10" t="s">
        <v>14</v>
      </c>
      <c r="F269" s="10">
        <v>1000.0</v>
      </c>
      <c r="G269" s="10" t="str">
        <f>IFERROR(VLOOKUP(C269&amp;D269&amp;E269&amp;F269,productID!$A$2:$B$7,2,FALSE))</f>
        <v/>
      </c>
      <c r="H269" s="10">
        <v>2022.0</v>
      </c>
      <c r="I269" s="10" t="s">
        <v>51</v>
      </c>
      <c r="J269" s="10">
        <v>1.9688827398224882</v>
      </c>
      <c r="K269" s="11"/>
      <c r="L269" s="12"/>
      <c r="M269" s="9">
        <v>0.20147318447950882</v>
      </c>
    </row>
    <row r="270">
      <c r="A270" s="10" t="s">
        <v>25</v>
      </c>
      <c r="B270" s="10" t="s">
        <v>11</v>
      </c>
      <c r="C270" s="10" t="s">
        <v>27</v>
      </c>
      <c r="D270" s="10" t="s">
        <v>30</v>
      </c>
      <c r="E270" s="10" t="s">
        <v>14</v>
      </c>
      <c r="F270" s="10">
        <v>1000.0</v>
      </c>
      <c r="G270" s="10" t="str">
        <f>IFERROR(VLOOKUP(C270&amp;D270&amp;E270&amp;F270,productID!$A$2:$B$7,2,FALSE))</f>
        <v/>
      </c>
      <c r="H270" s="10">
        <v>2022.0</v>
      </c>
      <c r="I270" s="10" t="s">
        <v>52</v>
      </c>
      <c r="J270" s="10">
        <v>2.629975953769339</v>
      </c>
      <c r="K270" s="11"/>
      <c r="L270" s="12"/>
      <c r="M270" s="9">
        <v>0.2667511178225071</v>
      </c>
    </row>
    <row r="271">
      <c r="A271" s="10" t="s">
        <v>25</v>
      </c>
      <c r="B271" s="10" t="s">
        <v>11</v>
      </c>
      <c r="C271" s="10" t="s">
        <v>27</v>
      </c>
      <c r="D271" s="10" t="s">
        <v>30</v>
      </c>
      <c r="E271" s="10" t="s">
        <v>14</v>
      </c>
      <c r="F271" s="10">
        <v>1000.0</v>
      </c>
      <c r="G271" s="10" t="str">
        <f>IFERROR(VLOOKUP(C271&amp;D271&amp;E271&amp;F271,productID!$A$2:$B$7,2,FALSE))</f>
        <v/>
      </c>
      <c r="H271" s="10">
        <v>2022.0</v>
      </c>
      <c r="I271" s="10" t="s">
        <v>53</v>
      </c>
      <c r="J271" s="10">
        <v>2.66538311411251</v>
      </c>
      <c r="K271" s="11"/>
      <c r="L271" s="12"/>
      <c r="M271" s="9">
        <v>0.2599665834445598</v>
      </c>
    </row>
    <row r="272">
      <c r="A272" s="10" t="s">
        <v>25</v>
      </c>
      <c r="B272" s="10" t="s">
        <v>11</v>
      </c>
      <c r="C272" s="10" t="s">
        <v>27</v>
      </c>
      <c r="D272" s="10" t="s">
        <v>30</v>
      </c>
      <c r="E272" s="10" t="s">
        <v>14</v>
      </c>
      <c r="F272" s="10">
        <v>1000.0</v>
      </c>
      <c r="G272" s="10" t="str">
        <f>IFERROR(VLOOKUP(C272&amp;D272&amp;E272&amp;F272,productID!$A$2:$B$7,2,FALSE))</f>
        <v/>
      </c>
      <c r="H272" s="10">
        <v>2022.0</v>
      </c>
      <c r="I272" s="10" t="s">
        <v>54</v>
      </c>
      <c r="J272" s="10">
        <v>2.2463108967841054</v>
      </c>
      <c r="K272" s="11"/>
      <c r="L272" s="12"/>
      <c r="M272" s="9">
        <v>0.21612161983458195</v>
      </c>
    </row>
    <row r="273">
      <c r="A273" s="10" t="s">
        <v>25</v>
      </c>
      <c r="B273" s="10" t="s">
        <v>11</v>
      </c>
      <c r="C273" s="10" t="s">
        <v>27</v>
      </c>
      <c r="D273" s="10" t="s">
        <v>30</v>
      </c>
      <c r="E273" s="10" t="s">
        <v>14</v>
      </c>
      <c r="F273" s="10">
        <v>1000.0</v>
      </c>
      <c r="G273" s="10" t="str">
        <f>IFERROR(VLOOKUP(C273&amp;D273&amp;E273&amp;F273,productID!$A$2:$B$7,2,FALSE))</f>
        <v/>
      </c>
      <c r="H273" s="10">
        <v>2023.0</v>
      </c>
      <c r="I273" s="10" t="s">
        <v>51</v>
      </c>
      <c r="J273" s="10">
        <v>1.9897480258521518</v>
      </c>
      <c r="K273" s="11"/>
      <c r="L273" s="12"/>
      <c r="M273" s="9">
        <v>0.18119250088030542</v>
      </c>
    </row>
    <row r="274">
      <c r="A274" s="10" t="s">
        <v>25</v>
      </c>
      <c r="B274" s="10" t="s">
        <v>11</v>
      </c>
      <c r="C274" s="10" t="s">
        <v>27</v>
      </c>
      <c r="D274" s="10" t="s">
        <v>30</v>
      </c>
      <c r="E274" s="10" t="s">
        <v>14</v>
      </c>
      <c r="F274" s="10">
        <v>1000.0</v>
      </c>
      <c r="G274" s="10" t="str">
        <f>IFERROR(VLOOKUP(C274&amp;D274&amp;E274&amp;F274,productID!$A$2:$B$7,2,FALSE))</f>
        <v/>
      </c>
      <c r="H274" s="10">
        <v>2023.0</v>
      </c>
      <c r="I274" s="10" t="s">
        <v>52</v>
      </c>
      <c r="J274" s="10">
        <v>2.7023404466812058</v>
      </c>
      <c r="K274" s="11"/>
      <c r="L274" s="12"/>
      <c r="M274" s="9">
        <v>0.24263200970942217</v>
      </c>
    </row>
    <row r="275">
      <c r="A275" s="10" t="s">
        <v>25</v>
      </c>
      <c r="B275" s="10" t="s">
        <v>11</v>
      </c>
      <c r="C275" s="10" t="s">
        <v>27</v>
      </c>
      <c r="D275" s="10" t="s">
        <v>30</v>
      </c>
      <c r="E275" s="10" t="s">
        <v>14</v>
      </c>
      <c r="F275" s="10">
        <v>1000.0</v>
      </c>
      <c r="G275" s="10" t="str">
        <f>IFERROR(VLOOKUP(C275&amp;D275&amp;E275&amp;F275,productID!$A$2:$B$7,2,FALSE))</f>
        <v/>
      </c>
      <c r="H275" s="10">
        <v>2023.0</v>
      </c>
      <c r="I275" s="10" t="s">
        <v>53</v>
      </c>
      <c r="J275" s="10">
        <v>3.3563221525368707</v>
      </c>
      <c r="K275" s="11"/>
      <c r="L275" s="12"/>
      <c r="M275" s="9">
        <v>0.3198776072868832</v>
      </c>
    </row>
    <row r="276">
      <c r="A276" s="10" t="s">
        <v>25</v>
      </c>
      <c r="B276" s="10" t="s">
        <v>11</v>
      </c>
      <c r="C276" s="10" t="s">
        <v>27</v>
      </c>
      <c r="D276" s="10" t="s">
        <v>30</v>
      </c>
      <c r="E276" s="10" t="s">
        <v>14</v>
      </c>
      <c r="F276" s="10">
        <v>1000.0</v>
      </c>
      <c r="G276" s="10" t="str">
        <f>IFERROR(VLOOKUP(C276&amp;D276&amp;E276&amp;F276,productID!$A$2:$B$7,2,FALSE))</f>
        <v/>
      </c>
      <c r="H276" s="10">
        <v>2023.0</v>
      </c>
      <c r="I276" s="10" t="s">
        <v>54</v>
      </c>
      <c r="J276" s="10">
        <v>2.2377018337320154</v>
      </c>
      <c r="K276" s="11"/>
      <c r="L276" s="12"/>
      <c r="M276" s="9">
        <v>0.22775488618912754</v>
      </c>
    </row>
    <row r="277">
      <c r="A277" s="10" t="s">
        <v>26</v>
      </c>
      <c r="B277" s="10" t="s">
        <v>11</v>
      </c>
      <c r="C277" s="10" t="s">
        <v>27</v>
      </c>
      <c r="D277" s="10" t="s">
        <v>30</v>
      </c>
      <c r="E277" s="10" t="s">
        <v>14</v>
      </c>
      <c r="F277" s="10">
        <v>1000.0</v>
      </c>
      <c r="G277" s="10" t="str">
        <f>IFERROR(VLOOKUP(C277&amp;D277&amp;E277&amp;F277,productID!$A$2:$B$7,2,FALSE))</f>
        <v/>
      </c>
      <c r="H277" s="10">
        <v>2022.0</v>
      </c>
      <c r="I277" s="10" t="s">
        <v>51</v>
      </c>
      <c r="J277" s="10">
        <v>14.994981309227116</v>
      </c>
      <c r="K277" s="11"/>
      <c r="L277" s="12"/>
      <c r="M277" s="9">
        <v>0.7258999327806859</v>
      </c>
    </row>
    <row r="278">
      <c r="A278" s="10" t="s">
        <v>26</v>
      </c>
      <c r="B278" s="10" t="s">
        <v>11</v>
      </c>
      <c r="C278" s="10" t="s">
        <v>27</v>
      </c>
      <c r="D278" s="10" t="s">
        <v>30</v>
      </c>
      <c r="E278" s="10" t="s">
        <v>14</v>
      </c>
      <c r="F278" s="10">
        <v>1000.0</v>
      </c>
      <c r="G278" s="10" t="str">
        <f>IFERROR(VLOOKUP(C278&amp;D278&amp;E278&amp;F278,productID!$A$2:$B$7,2,FALSE))</f>
        <v/>
      </c>
      <c r="H278" s="10">
        <v>2022.0</v>
      </c>
      <c r="I278" s="10" t="s">
        <v>52</v>
      </c>
      <c r="J278" s="10">
        <v>16.03561410446652</v>
      </c>
      <c r="K278" s="11"/>
      <c r="L278" s="12"/>
      <c r="M278" s="9">
        <v>0.7636107203510838</v>
      </c>
    </row>
    <row r="279">
      <c r="A279" s="10" t="s">
        <v>26</v>
      </c>
      <c r="B279" s="10" t="s">
        <v>11</v>
      </c>
      <c r="C279" s="10" t="s">
        <v>27</v>
      </c>
      <c r="D279" s="10" t="s">
        <v>30</v>
      </c>
      <c r="E279" s="10" t="s">
        <v>14</v>
      </c>
      <c r="F279" s="10">
        <v>1000.0</v>
      </c>
      <c r="G279" s="10" t="str">
        <f>IFERROR(VLOOKUP(C279&amp;D279&amp;E279&amp;F279,productID!$A$2:$B$7,2,FALSE))</f>
        <v/>
      </c>
      <c r="H279" s="10">
        <v>2022.0</v>
      </c>
      <c r="I279" s="10" t="s">
        <v>53</v>
      </c>
      <c r="J279" s="10">
        <v>15.209499555334556</v>
      </c>
      <c r="K279" s="11"/>
      <c r="L279" s="12"/>
      <c r="M279" s="9">
        <v>0.7261683815686701</v>
      </c>
    </row>
    <row r="280">
      <c r="A280" s="10" t="s">
        <v>26</v>
      </c>
      <c r="B280" s="10" t="s">
        <v>11</v>
      </c>
      <c r="C280" s="10" t="s">
        <v>27</v>
      </c>
      <c r="D280" s="10" t="s">
        <v>30</v>
      </c>
      <c r="E280" s="10" t="s">
        <v>14</v>
      </c>
      <c r="F280" s="10">
        <v>1000.0</v>
      </c>
      <c r="G280" s="10" t="str">
        <f>IFERROR(VLOOKUP(C280&amp;D280&amp;E280&amp;F280,productID!$A$2:$B$7,2,FALSE))</f>
        <v/>
      </c>
      <c r="H280" s="10">
        <v>2022.0</v>
      </c>
      <c r="I280" s="10" t="s">
        <v>54</v>
      </c>
      <c r="J280" s="10">
        <v>15.376859305105343</v>
      </c>
      <c r="K280" s="11"/>
      <c r="L280" s="12"/>
      <c r="M280" s="9">
        <v>0.7202867356834164</v>
      </c>
    </row>
    <row r="281">
      <c r="A281" s="10" t="s">
        <v>26</v>
      </c>
      <c r="B281" s="10" t="s">
        <v>11</v>
      </c>
      <c r="C281" s="10" t="s">
        <v>27</v>
      </c>
      <c r="D281" s="10" t="s">
        <v>30</v>
      </c>
      <c r="E281" s="10" t="s">
        <v>14</v>
      </c>
      <c r="F281" s="10">
        <v>1000.0</v>
      </c>
      <c r="G281" s="10" t="str">
        <f>IFERROR(VLOOKUP(C281&amp;D281&amp;E281&amp;F281,productID!$A$2:$B$7,2,FALSE))</f>
        <v/>
      </c>
      <c r="H281" s="10">
        <v>2023.0</v>
      </c>
      <c r="I281" s="10" t="s">
        <v>51</v>
      </c>
      <c r="J281" s="10">
        <v>14.844420596213578</v>
      </c>
      <c r="K281" s="11"/>
      <c r="L281" s="12"/>
      <c r="M281" s="9">
        <v>0.6884742839731517</v>
      </c>
    </row>
    <row r="282">
      <c r="A282" s="10" t="s">
        <v>26</v>
      </c>
      <c r="B282" s="10" t="s">
        <v>11</v>
      </c>
      <c r="C282" s="10" t="s">
        <v>27</v>
      </c>
      <c r="D282" s="10" t="s">
        <v>30</v>
      </c>
      <c r="E282" s="10" t="s">
        <v>14</v>
      </c>
      <c r="F282" s="10">
        <v>1000.0</v>
      </c>
      <c r="G282" s="10" t="str">
        <f>IFERROR(VLOOKUP(C282&amp;D282&amp;E282&amp;F282,productID!$A$2:$B$7,2,FALSE))</f>
        <v/>
      </c>
      <c r="H282" s="10">
        <v>2023.0</v>
      </c>
      <c r="I282" s="10" t="s">
        <v>52</v>
      </c>
      <c r="J282" s="10">
        <v>15.539779383701802</v>
      </c>
      <c r="K282" s="11"/>
      <c r="L282" s="12"/>
      <c r="M282" s="9">
        <v>0.6973897394736737</v>
      </c>
    </row>
    <row r="283">
      <c r="A283" s="10" t="s">
        <v>26</v>
      </c>
      <c r="B283" s="10" t="s">
        <v>11</v>
      </c>
      <c r="C283" s="10" t="s">
        <v>27</v>
      </c>
      <c r="D283" s="10" t="s">
        <v>30</v>
      </c>
      <c r="E283" s="10" t="s">
        <v>14</v>
      </c>
      <c r="F283" s="10">
        <v>1000.0</v>
      </c>
      <c r="G283" s="10" t="str">
        <f>IFERROR(VLOOKUP(C283&amp;D283&amp;E283&amp;F283,productID!$A$2:$B$7,2,FALSE))</f>
        <v/>
      </c>
      <c r="H283" s="10">
        <v>2023.0</v>
      </c>
      <c r="I283" s="10" t="s">
        <v>53</v>
      </c>
      <c r="J283" s="10">
        <v>13.408048753781342</v>
      </c>
      <c r="K283" s="11"/>
      <c r="L283" s="12"/>
      <c r="M283" s="9">
        <v>0.6152513085424883</v>
      </c>
    </row>
    <row r="284">
      <c r="A284" s="10" t="s">
        <v>26</v>
      </c>
      <c r="B284" s="10" t="s">
        <v>11</v>
      </c>
      <c r="C284" s="10" t="s">
        <v>27</v>
      </c>
      <c r="D284" s="10" t="s">
        <v>30</v>
      </c>
      <c r="E284" s="10" t="s">
        <v>14</v>
      </c>
      <c r="F284" s="10">
        <v>1000.0</v>
      </c>
      <c r="G284" s="10" t="str">
        <f>IFERROR(VLOOKUP(C284&amp;D284&amp;E284&amp;F284,productID!$A$2:$B$7,2,FALSE))</f>
        <v/>
      </c>
      <c r="H284" s="10">
        <v>2023.0</v>
      </c>
      <c r="I284" s="10" t="s">
        <v>54</v>
      </c>
      <c r="J284" s="10">
        <v>13.2203926478716</v>
      </c>
      <c r="K284" s="11"/>
      <c r="L284" s="12"/>
      <c r="M284" s="9">
        <v>0.6287103785486616</v>
      </c>
    </row>
    <row r="285">
      <c r="A285" s="10" t="s">
        <v>10</v>
      </c>
      <c r="B285" s="10" t="s">
        <v>11</v>
      </c>
      <c r="C285" s="10" t="s">
        <v>27</v>
      </c>
      <c r="D285" s="10" t="s">
        <v>13</v>
      </c>
      <c r="E285" s="10" t="s">
        <v>14</v>
      </c>
      <c r="F285" s="10">
        <v>1000.0</v>
      </c>
      <c r="G285" s="10" t="str">
        <f>IFERROR(VLOOKUP(C285&amp;D285&amp;E285&amp;F285,productID!$A$2:$B$7,2,FALSE))</f>
        <v/>
      </c>
      <c r="H285" s="10">
        <v>2022.0</v>
      </c>
      <c r="I285" s="10" t="s">
        <v>51</v>
      </c>
      <c r="J285" s="10">
        <v>40.30566945980442</v>
      </c>
      <c r="K285" s="11"/>
      <c r="L285" s="12"/>
      <c r="M285" s="9">
        <v>3.5323089935099667</v>
      </c>
    </row>
    <row r="286">
      <c r="A286" s="10" t="s">
        <v>10</v>
      </c>
      <c r="B286" s="10" t="s">
        <v>11</v>
      </c>
      <c r="C286" s="10" t="s">
        <v>27</v>
      </c>
      <c r="D286" s="10" t="s">
        <v>13</v>
      </c>
      <c r="E286" s="10" t="s">
        <v>14</v>
      </c>
      <c r="F286" s="10">
        <v>1000.0</v>
      </c>
      <c r="G286" s="10" t="str">
        <f>IFERROR(VLOOKUP(C286&amp;D286&amp;E286&amp;F286,productID!$A$2:$B$7,2,FALSE))</f>
        <v/>
      </c>
      <c r="H286" s="10">
        <v>2022.0</v>
      </c>
      <c r="I286" s="10" t="s">
        <v>52</v>
      </c>
      <c r="J286" s="10">
        <v>48.043861580695875</v>
      </c>
      <c r="K286" s="11"/>
      <c r="L286" s="12"/>
      <c r="M286" s="9">
        <v>4.193075026986208</v>
      </c>
    </row>
    <row r="287">
      <c r="A287" s="10" t="s">
        <v>10</v>
      </c>
      <c r="B287" s="10" t="s">
        <v>11</v>
      </c>
      <c r="C287" s="10" t="s">
        <v>27</v>
      </c>
      <c r="D287" s="10" t="s">
        <v>13</v>
      </c>
      <c r="E287" s="10" t="s">
        <v>14</v>
      </c>
      <c r="F287" s="10">
        <v>1000.0</v>
      </c>
      <c r="G287" s="10" t="str">
        <f>IFERROR(VLOOKUP(C287&amp;D287&amp;E287&amp;F287,productID!$A$2:$B$7,2,FALSE))</f>
        <v/>
      </c>
      <c r="H287" s="10">
        <v>2022.0</v>
      </c>
      <c r="I287" s="10" t="s">
        <v>53</v>
      </c>
      <c r="J287" s="10">
        <v>45.54354492930847</v>
      </c>
      <c r="K287" s="11"/>
      <c r="L287" s="12"/>
      <c r="M287" s="9">
        <v>3.9810240638238126</v>
      </c>
    </row>
    <row r="288">
      <c r="A288" s="10" t="s">
        <v>10</v>
      </c>
      <c r="B288" s="10" t="s">
        <v>11</v>
      </c>
      <c r="C288" s="10" t="s">
        <v>27</v>
      </c>
      <c r="D288" s="10" t="s">
        <v>13</v>
      </c>
      <c r="E288" s="10" t="s">
        <v>14</v>
      </c>
      <c r="F288" s="10">
        <v>1000.0</v>
      </c>
      <c r="G288" s="10" t="str">
        <f>IFERROR(VLOOKUP(C288&amp;D288&amp;E288&amp;F288,productID!$A$2:$B$7,2,FALSE))</f>
        <v/>
      </c>
      <c r="H288" s="10">
        <v>2022.0</v>
      </c>
      <c r="I288" s="10" t="s">
        <v>54</v>
      </c>
      <c r="J288" s="10">
        <v>32.018584785292546</v>
      </c>
      <c r="K288" s="11"/>
      <c r="L288" s="12"/>
      <c r="M288" s="9">
        <v>2.8995550793307165</v>
      </c>
    </row>
    <row r="289">
      <c r="A289" s="10" t="s">
        <v>10</v>
      </c>
      <c r="B289" s="10" t="s">
        <v>11</v>
      </c>
      <c r="C289" s="10" t="s">
        <v>27</v>
      </c>
      <c r="D289" s="10" t="s">
        <v>13</v>
      </c>
      <c r="E289" s="10" t="s">
        <v>14</v>
      </c>
      <c r="F289" s="10">
        <v>1000.0</v>
      </c>
      <c r="G289" s="10" t="str">
        <f>IFERROR(VLOOKUP(C289&amp;D289&amp;E289&amp;F289,productID!$A$2:$B$7,2,FALSE))</f>
        <v/>
      </c>
      <c r="H289" s="10">
        <v>2023.0</v>
      </c>
      <c r="I289" s="10" t="s">
        <v>51</v>
      </c>
      <c r="J289" s="10">
        <v>30.281874196763916</v>
      </c>
      <c r="K289" s="11"/>
      <c r="L289" s="12"/>
      <c r="M289" s="9">
        <v>2.567671414983211</v>
      </c>
    </row>
    <row r="290">
      <c r="A290" s="10" t="s">
        <v>10</v>
      </c>
      <c r="B290" s="10" t="s">
        <v>11</v>
      </c>
      <c r="C290" s="10" t="s">
        <v>27</v>
      </c>
      <c r="D290" s="10" t="s">
        <v>13</v>
      </c>
      <c r="E290" s="10" t="s">
        <v>14</v>
      </c>
      <c r="F290" s="10">
        <v>1000.0</v>
      </c>
      <c r="G290" s="10" t="str">
        <f>IFERROR(VLOOKUP(C290&amp;D290&amp;E290&amp;F290,productID!$A$2:$B$7,2,FALSE))</f>
        <v/>
      </c>
      <c r="H290" s="10">
        <v>2023.0</v>
      </c>
      <c r="I290" s="10" t="s">
        <v>52</v>
      </c>
      <c r="J290" s="10">
        <v>35.86242872374527</v>
      </c>
      <c r="K290" s="11"/>
      <c r="L290" s="12"/>
      <c r="M290" s="9">
        <v>2.8341358437269335</v>
      </c>
    </row>
    <row r="291">
      <c r="A291" s="10" t="s">
        <v>10</v>
      </c>
      <c r="B291" s="10" t="s">
        <v>11</v>
      </c>
      <c r="C291" s="10" t="s">
        <v>27</v>
      </c>
      <c r="D291" s="10" t="s">
        <v>13</v>
      </c>
      <c r="E291" s="10" t="s">
        <v>14</v>
      </c>
      <c r="F291" s="10">
        <v>1000.0</v>
      </c>
      <c r="G291" s="10" t="str">
        <f>IFERROR(VLOOKUP(C291&amp;D291&amp;E291&amp;F291,productID!$A$2:$B$7,2,FALSE))</f>
        <v/>
      </c>
      <c r="H291" s="10">
        <v>2023.0</v>
      </c>
      <c r="I291" s="10" t="s">
        <v>53</v>
      </c>
      <c r="J291" s="10">
        <v>31.98699898810674</v>
      </c>
      <c r="K291" s="11"/>
      <c r="L291" s="12"/>
      <c r="M291" s="9">
        <v>2.5910768982880894</v>
      </c>
    </row>
    <row r="292">
      <c r="A292" s="10" t="s">
        <v>10</v>
      </c>
      <c r="B292" s="10" t="s">
        <v>11</v>
      </c>
      <c r="C292" s="10" t="s">
        <v>27</v>
      </c>
      <c r="D292" s="10" t="s">
        <v>13</v>
      </c>
      <c r="E292" s="10" t="s">
        <v>14</v>
      </c>
      <c r="F292" s="10">
        <v>1000.0</v>
      </c>
      <c r="G292" s="10" t="str">
        <f>IFERROR(VLOOKUP(C292&amp;D292&amp;E292&amp;F292,productID!$A$2:$B$7,2,FALSE))</f>
        <v/>
      </c>
      <c r="H292" s="10">
        <v>2023.0</v>
      </c>
      <c r="I292" s="10" t="s">
        <v>54</v>
      </c>
      <c r="J292" s="10">
        <v>25.855373118592734</v>
      </c>
      <c r="K292" s="11"/>
      <c r="L292" s="12"/>
      <c r="M292" s="9">
        <v>2.224742898716447</v>
      </c>
    </row>
    <row r="293">
      <c r="A293" s="10" t="s">
        <v>24</v>
      </c>
      <c r="B293" s="10" t="s">
        <v>11</v>
      </c>
      <c r="C293" s="10" t="s">
        <v>27</v>
      </c>
      <c r="D293" s="10" t="s">
        <v>13</v>
      </c>
      <c r="E293" s="10" t="s">
        <v>14</v>
      </c>
      <c r="F293" s="10">
        <v>1000.0</v>
      </c>
      <c r="G293" s="10" t="str">
        <f>IFERROR(VLOOKUP(C293&amp;D293&amp;E293&amp;F293,productID!$A$2:$B$7,2,FALSE))</f>
        <v/>
      </c>
      <c r="H293" s="10">
        <v>2022.0</v>
      </c>
      <c r="I293" s="10" t="s">
        <v>51</v>
      </c>
      <c r="J293" s="10">
        <v>14.102540818563057</v>
      </c>
      <c r="K293" s="11"/>
      <c r="L293" s="12"/>
      <c r="M293" s="9">
        <v>1.5750308980869514</v>
      </c>
    </row>
    <row r="294">
      <c r="A294" s="10" t="s">
        <v>24</v>
      </c>
      <c r="B294" s="10" t="s">
        <v>11</v>
      </c>
      <c r="C294" s="10" t="s">
        <v>27</v>
      </c>
      <c r="D294" s="10" t="s">
        <v>13</v>
      </c>
      <c r="E294" s="10" t="s">
        <v>14</v>
      </c>
      <c r="F294" s="10">
        <v>1000.0</v>
      </c>
      <c r="G294" s="10" t="str">
        <f>IFERROR(VLOOKUP(C294&amp;D294&amp;E294&amp;F294,productID!$A$2:$B$7,2,FALSE))</f>
        <v/>
      </c>
      <c r="H294" s="10">
        <v>2022.0</v>
      </c>
      <c r="I294" s="10" t="s">
        <v>52</v>
      </c>
      <c r="J294" s="10">
        <v>23.010782029565018</v>
      </c>
      <c r="K294" s="11"/>
      <c r="L294" s="12"/>
      <c r="M294" s="9">
        <v>2.4565981284257257</v>
      </c>
    </row>
    <row r="295">
      <c r="A295" s="10" t="s">
        <v>24</v>
      </c>
      <c r="B295" s="10" t="s">
        <v>11</v>
      </c>
      <c r="C295" s="10" t="s">
        <v>27</v>
      </c>
      <c r="D295" s="10" t="s">
        <v>13</v>
      </c>
      <c r="E295" s="10" t="s">
        <v>14</v>
      </c>
      <c r="F295" s="10">
        <v>1000.0</v>
      </c>
      <c r="G295" s="10" t="str">
        <f>IFERROR(VLOOKUP(C295&amp;D295&amp;E295&amp;F295,productID!$A$2:$B$7,2,FALSE))</f>
        <v/>
      </c>
      <c r="H295" s="10">
        <v>2022.0</v>
      </c>
      <c r="I295" s="10" t="s">
        <v>53</v>
      </c>
      <c r="J295" s="10">
        <v>20.53799477163019</v>
      </c>
      <c r="K295" s="11"/>
      <c r="L295" s="12"/>
      <c r="M295" s="9">
        <v>2.1340869431996037</v>
      </c>
    </row>
    <row r="296">
      <c r="A296" s="10" t="s">
        <v>24</v>
      </c>
      <c r="B296" s="10" t="s">
        <v>11</v>
      </c>
      <c r="C296" s="10" t="s">
        <v>27</v>
      </c>
      <c r="D296" s="10" t="s">
        <v>13</v>
      </c>
      <c r="E296" s="10" t="s">
        <v>14</v>
      </c>
      <c r="F296" s="10">
        <v>1000.0</v>
      </c>
      <c r="G296" s="10" t="str">
        <f>IFERROR(VLOOKUP(C296&amp;D296&amp;E296&amp;F296,productID!$A$2:$B$7,2,FALSE))</f>
        <v/>
      </c>
      <c r="H296" s="10">
        <v>2022.0</v>
      </c>
      <c r="I296" s="10" t="s">
        <v>54</v>
      </c>
      <c r="J296" s="10">
        <v>14.375083080421925</v>
      </c>
      <c r="K296" s="11"/>
      <c r="L296" s="12"/>
      <c r="M296" s="9">
        <v>1.5432107553669856</v>
      </c>
    </row>
    <row r="297">
      <c r="A297" s="10" t="s">
        <v>24</v>
      </c>
      <c r="B297" s="10" t="s">
        <v>11</v>
      </c>
      <c r="C297" s="10" t="s">
        <v>27</v>
      </c>
      <c r="D297" s="10" t="s">
        <v>13</v>
      </c>
      <c r="E297" s="10" t="s">
        <v>14</v>
      </c>
      <c r="F297" s="10">
        <v>1000.0</v>
      </c>
      <c r="G297" s="10" t="str">
        <f>IFERROR(VLOOKUP(C297&amp;D297&amp;E297&amp;F297,productID!$A$2:$B$7,2,FALSE))</f>
        <v/>
      </c>
      <c r="H297" s="10">
        <v>2023.0</v>
      </c>
      <c r="I297" s="10" t="s">
        <v>51</v>
      </c>
      <c r="J297" s="10">
        <v>14.34932028727215</v>
      </c>
      <c r="K297" s="11"/>
      <c r="L297" s="12"/>
      <c r="M297" s="9">
        <v>1.5005638241066575</v>
      </c>
    </row>
    <row r="298">
      <c r="A298" s="10" t="s">
        <v>24</v>
      </c>
      <c r="B298" s="10" t="s">
        <v>11</v>
      </c>
      <c r="C298" s="10" t="s">
        <v>27</v>
      </c>
      <c r="D298" s="10" t="s">
        <v>13</v>
      </c>
      <c r="E298" s="10" t="s">
        <v>14</v>
      </c>
      <c r="F298" s="10">
        <v>1000.0</v>
      </c>
      <c r="G298" s="10" t="str">
        <f>IFERROR(VLOOKUP(C298&amp;D298&amp;E298&amp;F298,productID!$A$2:$B$7,2,FALSE))</f>
        <v/>
      </c>
      <c r="H298" s="10">
        <v>2023.0</v>
      </c>
      <c r="I298" s="10" t="s">
        <v>52</v>
      </c>
      <c r="J298" s="10">
        <v>21.187172332615205</v>
      </c>
      <c r="K298" s="11"/>
      <c r="L298" s="12"/>
      <c r="M298" s="9">
        <v>2.186576652430338</v>
      </c>
    </row>
    <row r="299">
      <c r="A299" s="10" t="s">
        <v>24</v>
      </c>
      <c r="B299" s="10" t="s">
        <v>11</v>
      </c>
      <c r="C299" s="10" t="s">
        <v>27</v>
      </c>
      <c r="D299" s="10" t="s">
        <v>13</v>
      </c>
      <c r="E299" s="10" t="s">
        <v>14</v>
      </c>
      <c r="F299" s="10">
        <v>1000.0</v>
      </c>
      <c r="G299" s="10" t="str">
        <f>IFERROR(VLOOKUP(C299&amp;D299&amp;E299&amp;F299,productID!$A$2:$B$7,2,FALSE))</f>
        <v/>
      </c>
      <c r="H299" s="10">
        <v>2023.0</v>
      </c>
      <c r="I299" s="10" t="s">
        <v>53</v>
      </c>
      <c r="J299" s="10">
        <v>16.34663089984205</v>
      </c>
      <c r="K299" s="11"/>
      <c r="L299" s="12"/>
      <c r="M299" s="9">
        <v>1.7956346955750373</v>
      </c>
    </row>
    <row r="300">
      <c r="A300" s="10" t="s">
        <v>24</v>
      </c>
      <c r="B300" s="10" t="s">
        <v>11</v>
      </c>
      <c r="C300" s="10" t="s">
        <v>27</v>
      </c>
      <c r="D300" s="10" t="s">
        <v>13</v>
      </c>
      <c r="E300" s="10" t="s">
        <v>14</v>
      </c>
      <c r="F300" s="10">
        <v>1000.0</v>
      </c>
      <c r="G300" s="10" t="str">
        <f>IFERROR(VLOOKUP(C300&amp;D300&amp;E300&amp;F300,productID!$A$2:$B$7,2,FALSE))</f>
        <v/>
      </c>
      <c r="H300" s="10">
        <v>2023.0</v>
      </c>
      <c r="I300" s="10" t="s">
        <v>54</v>
      </c>
      <c r="J300" s="10">
        <v>10.378004106693888</v>
      </c>
      <c r="K300" s="11"/>
      <c r="L300" s="12"/>
      <c r="M300" s="9">
        <v>1.3160904796019475</v>
      </c>
    </row>
    <row r="301">
      <c r="A301" s="10" t="s">
        <v>25</v>
      </c>
      <c r="B301" s="10" t="s">
        <v>11</v>
      </c>
      <c r="C301" s="10" t="s">
        <v>27</v>
      </c>
      <c r="D301" s="10" t="s">
        <v>13</v>
      </c>
      <c r="E301" s="10" t="s">
        <v>14</v>
      </c>
      <c r="F301" s="10">
        <v>1000.0</v>
      </c>
      <c r="G301" s="10" t="str">
        <f>IFERROR(VLOOKUP(C301&amp;D301&amp;E301&amp;F301,productID!$A$2:$B$7,2,FALSE))</f>
        <v/>
      </c>
      <c r="H301" s="10">
        <v>2022.0</v>
      </c>
      <c r="I301" s="10" t="s">
        <v>51</v>
      </c>
      <c r="J301" s="10">
        <v>2.111344420955078</v>
      </c>
      <c r="K301" s="11"/>
      <c r="L301" s="12"/>
      <c r="M301" s="9">
        <v>0.21605110117488036</v>
      </c>
    </row>
    <row r="302">
      <c r="A302" s="10" t="s">
        <v>25</v>
      </c>
      <c r="B302" s="10" t="s">
        <v>11</v>
      </c>
      <c r="C302" s="10" t="s">
        <v>27</v>
      </c>
      <c r="D302" s="10" t="s">
        <v>13</v>
      </c>
      <c r="E302" s="10" t="s">
        <v>14</v>
      </c>
      <c r="F302" s="10">
        <v>1000.0</v>
      </c>
      <c r="G302" s="10" t="str">
        <f>IFERROR(VLOOKUP(C302&amp;D302&amp;E302&amp;F302,productID!$A$2:$B$7,2,FALSE))</f>
        <v/>
      </c>
      <c r="H302" s="10">
        <v>2022.0</v>
      </c>
      <c r="I302" s="10" t="s">
        <v>52</v>
      </c>
      <c r="J302" s="10">
        <v>3.4548848747070595</v>
      </c>
      <c r="K302" s="11"/>
      <c r="L302" s="12"/>
      <c r="M302" s="9">
        <v>0.35041932644111495</v>
      </c>
    </row>
    <row r="303">
      <c r="A303" s="10" t="s">
        <v>25</v>
      </c>
      <c r="B303" s="10" t="s">
        <v>11</v>
      </c>
      <c r="C303" s="10" t="s">
        <v>27</v>
      </c>
      <c r="D303" s="10" t="s">
        <v>13</v>
      </c>
      <c r="E303" s="10" t="s">
        <v>14</v>
      </c>
      <c r="F303" s="10">
        <v>1000.0</v>
      </c>
      <c r="G303" s="10" t="str">
        <f>IFERROR(VLOOKUP(C303&amp;D303&amp;E303&amp;F303,productID!$A$2:$B$7,2,FALSE))</f>
        <v/>
      </c>
      <c r="H303" s="10">
        <v>2022.0</v>
      </c>
      <c r="I303" s="10" t="s">
        <v>53</v>
      </c>
      <c r="J303" s="10">
        <v>4.581801239792881</v>
      </c>
      <c r="K303" s="11"/>
      <c r="L303" s="12"/>
      <c r="M303" s="9">
        <v>0.4468833047018114</v>
      </c>
    </row>
    <row r="304">
      <c r="A304" s="10" t="s">
        <v>25</v>
      </c>
      <c r="B304" s="10" t="s">
        <v>11</v>
      </c>
      <c r="C304" s="10" t="s">
        <v>27</v>
      </c>
      <c r="D304" s="10" t="s">
        <v>13</v>
      </c>
      <c r="E304" s="10" t="s">
        <v>14</v>
      </c>
      <c r="F304" s="10">
        <v>1000.0</v>
      </c>
      <c r="G304" s="10" t="str">
        <f>IFERROR(VLOOKUP(C304&amp;D304&amp;E304&amp;F304,productID!$A$2:$B$7,2,FALSE))</f>
        <v/>
      </c>
      <c r="H304" s="10">
        <v>2022.0</v>
      </c>
      <c r="I304" s="10" t="s">
        <v>54</v>
      </c>
      <c r="J304" s="10">
        <v>4.00686474397377</v>
      </c>
      <c r="K304" s="11"/>
      <c r="L304" s="12"/>
      <c r="M304" s="9">
        <v>0.3855076784631373</v>
      </c>
    </row>
    <row r="305">
      <c r="A305" s="10" t="s">
        <v>25</v>
      </c>
      <c r="B305" s="10" t="s">
        <v>11</v>
      </c>
      <c r="C305" s="10" t="s">
        <v>27</v>
      </c>
      <c r="D305" s="10" t="s">
        <v>13</v>
      </c>
      <c r="E305" s="10" t="s">
        <v>14</v>
      </c>
      <c r="F305" s="10">
        <v>1000.0</v>
      </c>
      <c r="G305" s="10" t="str">
        <f>IFERROR(VLOOKUP(C305&amp;D305&amp;E305&amp;F305,productID!$A$2:$B$7,2,FALSE))</f>
        <v/>
      </c>
      <c r="H305" s="10">
        <v>2023.0</v>
      </c>
      <c r="I305" s="10" t="s">
        <v>51</v>
      </c>
      <c r="J305" s="10">
        <v>3.339305200649836</v>
      </c>
      <c r="K305" s="11"/>
      <c r="L305" s="12"/>
      <c r="M305" s="9">
        <v>0.30408727770905836</v>
      </c>
    </row>
    <row r="306">
      <c r="A306" s="10" t="s">
        <v>25</v>
      </c>
      <c r="B306" s="10" t="s">
        <v>11</v>
      </c>
      <c r="C306" s="10" t="s">
        <v>27</v>
      </c>
      <c r="D306" s="10" t="s">
        <v>13</v>
      </c>
      <c r="E306" s="10" t="s">
        <v>14</v>
      </c>
      <c r="F306" s="10">
        <v>1000.0</v>
      </c>
      <c r="G306" s="10" t="str">
        <f>IFERROR(VLOOKUP(C306&amp;D306&amp;E306&amp;F306,productID!$A$2:$B$7,2,FALSE))</f>
        <v/>
      </c>
      <c r="H306" s="10">
        <v>2023.0</v>
      </c>
      <c r="I306" s="10" t="s">
        <v>52</v>
      </c>
      <c r="J306" s="10">
        <v>4.403579814126626</v>
      </c>
      <c r="K306" s="11"/>
      <c r="L306" s="12"/>
      <c r="M306" s="9">
        <v>0.3953792800346712</v>
      </c>
    </row>
    <row r="307">
      <c r="A307" s="10" t="s">
        <v>25</v>
      </c>
      <c r="B307" s="10" t="s">
        <v>11</v>
      </c>
      <c r="C307" s="10" t="s">
        <v>27</v>
      </c>
      <c r="D307" s="10" t="s">
        <v>13</v>
      </c>
      <c r="E307" s="10" t="s">
        <v>14</v>
      </c>
      <c r="F307" s="10">
        <v>1000.0</v>
      </c>
      <c r="G307" s="10" t="str">
        <f>IFERROR(VLOOKUP(C307&amp;D307&amp;E307&amp;F307,productID!$A$2:$B$7,2,FALSE))</f>
        <v/>
      </c>
      <c r="H307" s="10">
        <v>2023.0</v>
      </c>
      <c r="I307" s="10" t="s">
        <v>53</v>
      </c>
      <c r="J307" s="10">
        <v>4.422420874108587</v>
      </c>
      <c r="K307" s="11"/>
      <c r="L307" s="12"/>
      <c r="M307" s="9">
        <v>0.4214832019495426</v>
      </c>
    </row>
    <row r="308">
      <c r="A308" s="10" t="s">
        <v>25</v>
      </c>
      <c r="B308" s="10" t="s">
        <v>11</v>
      </c>
      <c r="C308" s="10" t="s">
        <v>27</v>
      </c>
      <c r="D308" s="10" t="s">
        <v>13</v>
      </c>
      <c r="E308" s="10" t="s">
        <v>14</v>
      </c>
      <c r="F308" s="10">
        <v>1000.0</v>
      </c>
      <c r="G308" s="10" t="str">
        <f>IFERROR(VLOOKUP(C308&amp;D308&amp;E308&amp;F308,productID!$A$2:$B$7,2,FALSE))</f>
        <v/>
      </c>
      <c r="H308" s="10">
        <v>2023.0</v>
      </c>
      <c r="I308" s="10" t="s">
        <v>54</v>
      </c>
      <c r="J308" s="10">
        <v>3.601684796414013</v>
      </c>
      <c r="K308" s="11"/>
      <c r="L308" s="12"/>
      <c r="M308" s="9">
        <v>0.3665820434746191</v>
      </c>
    </row>
    <row r="309">
      <c r="A309" s="10" t="s">
        <v>26</v>
      </c>
      <c r="B309" s="10" t="s">
        <v>11</v>
      </c>
      <c r="C309" s="10" t="s">
        <v>27</v>
      </c>
      <c r="D309" s="10" t="s">
        <v>13</v>
      </c>
      <c r="E309" s="10" t="s">
        <v>14</v>
      </c>
      <c r="F309" s="10">
        <v>1000.0</v>
      </c>
      <c r="G309" s="10" t="str">
        <f>IFERROR(VLOOKUP(C309&amp;D309&amp;E309&amp;F309,productID!$A$2:$B$7,2,FALSE))</f>
        <v/>
      </c>
      <c r="H309" s="10">
        <v>2022.0</v>
      </c>
      <c r="I309" s="10" t="s">
        <v>51</v>
      </c>
      <c r="J309" s="10">
        <v>21.778811202767358</v>
      </c>
      <c r="K309" s="11"/>
      <c r="L309" s="12"/>
      <c r="M309" s="9">
        <v>1.0543019202300643</v>
      </c>
    </row>
    <row r="310">
      <c r="A310" s="10" t="s">
        <v>26</v>
      </c>
      <c r="B310" s="10" t="s">
        <v>11</v>
      </c>
      <c r="C310" s="10" t="s">
        <v>27</v>
      </c>
      <c r="D310" s="10" t="s">
        <v>13</v>
      </c>
      <c r="E310" s="10" t="s">
        <v>14</v>
      </c>
      <c r="F310" s="10">
        <v>1000.0</v>
      </c>
      <c r="G310" s="10" t="str">
        <f>IFERROR(VLOOKUP(C310&amp;D310&amp;E310&amp;F310,productID!$A$2:$B$7,2,FALSE))</f>
        <v/>
      </c>
      <c r="H310" s="10">
        <v>2022.0</v>
      </c>
      <c r="I310" s="10" t="s">
        <v>52</v>
      </c>
      <c r="J310" s="10">
        <v>23.388456850970293</v>
      </c>
      <c r="K310" s="11"/>
      <c r="L310" s="12"/>
      <c r="M310" s="9">
        <v>1.1137506968875657</v>
      </c>
    </row>
    <row r="311">
      <c r="A311" s="10" t="s">
        <v>26</v>
      </c>
      <c r="B311" s="10" t="s">
        <v>11</v>
      </c>
      <c r="C311" s="10" t="s">
        <v>27</v>
      </c>
      <c r="D311" s="10" t="s">
        <v>13</v>
      </c>
      <c r="E311" s="10" t="s">
        <v>14</v>
      </c>
      <c r="F311" s="10">
        <v>1000.0</v>
      </c>
      <c r="G311" s="10" t="str">
        <f>IFERROR(VLOOKUP(C311&amp;D311&amp;E311&amp;F311,productID!$A$2:$B$7,2,FALSE))</f>
        <v/>
      </c>
      <c r="H311" s="10">
        <v>2022.0</v>
      </c>
      <c r="I311" s="10" t="s">
        <v>53</v>
      </c>
      <c r="J311" s="10">
        <v>22.25723619754705</v>
      </c>
      <c r="K311" s="11"/>
      <c r="L311" s="12"/>
      <c r="M311" s="9">
        <v>1.062658316203149</v>
      </c>
    </row>
    <row r="312">
      <c r="A312" s="10" t="s">
        <v>26</v>
      </c>
      <c r="B312" s="10" t="s">
        <v>11</v>
      </c>
      <c r="C312" s="10" t="s">
        <v>27</v>
      </c>
      <c r="D312" s="10" t="s">
        <v>13</v>
      </c>
      <c r="E312" s="10" t="s">
        <v>14</v>
      </c>
      <c r="F312" s="10">
        <v>1000.0</v>
      </c>
      <c r="G312" s="10" t="str">
        <f>IFERROR(VLOOKUP(C312&amp;D312&amp;E312&amp;F312,productID!$A$2:$B$7,2,FALSE))</f>
        <v/>
      </c>
      <c r="H312" s="10">
        <v>2022.0</v>
      </c>
      <c r="I312" s="10" t="s">
        <v>54</v>
      </c>
      <c r="J312" s="10">
        <v>20.947643094697387</v>
      </c>
      <c r="K312" s="11"/>
      <c r="L312" s="12"/>
      <c r="M312" s="9">
        <v>0.9812348000044001</v>
      </c>
    </row>
    <row r="313">
      <c r="A313" s="10" t="s">
        <v>26</v>
      </c>
      <c r="B313" s="10" t="s">
        <v>11</v>
      </c>
      <c r="C313" s="10" t="s">
        <v>27</v>
      </c>
      <c r="D313" s="10" t="s">
        <v>13</v>
      </c>
      <c r="E313" s="10" t="s">
        <v>14</v>
      </c>
      <c r="F313" s="10">
        <v>1000.0</v>
      </c>
      <c r="G313" s="10" t="str">
        <f>IFERROR(VLOOKUP(C313&amp;D313&amp;E313&amp;F313,productID!$A$2:$B$7,2,FALSE))</f>
        <v/>
      </c>
      <c r="H313" s="10">
        <v>2023.0</v>
      </c>
      <c r="I313" s="10" t="s">
        <v>51</v>
      </c>
      <c r="J313" s="10">
        <v>20.21514237620883</v>
      </c>
      <c r="K313" s="11"/>
      <c r="L313" s="12"/>
      <c r="M313" s="9">
        <v>0.9375647626439328</v>
      </c>
    </row>
    <row r="314">
      <c r="A314" s="10" t="s">
        <v>26</v>
      </c>
      <c r="B314" s="10" t="s">
        <v>11</v>
      </c>
      <c r="C314" s="10" t="s">
        <v>27</v>
      </c>
      <c r="D314" s="10" t="s">
        <v>13</v>
      </c>
      <c r="E314" s="10" t="s">
        <v>14</v>
      </c>
      <c r="F314" s="10">
        <v>1000.0</v>
      </c>
      <c r="G314" s="10" t="str">
        <f>IFERROR(VLOOKUP(C314&amp;D314&amp;E314&amp;F314,productID!$A$2:$B$7,2,FALSE))</f>
        <v/>
      </c>
      <c r="H314" s="10">
        <v>2023.0</v>
      </c>
      <c r="I314" s="10" t="s">
        <v>52</v>
      </c>
      <c r="J314" s="10">
        <v>19.16072944680269</v>
      </c>
      <c r="K314" s="11"/>
      <c r="L314" s="12"/>
      <c r="M314" s="9">
        <v>0.859889692581217</v>
      </c>
    </row>
    <row r="315">
      <c r="A315" s="10" t="s">
        <v>26</v>
      </c>
      <c r="B315" s="10" t="s">
        <v>11</v>
      </c>
      <c r="C315" s="10" t="s">
        <v>27</v>
      </c>
      <c r="D315" s="10" t="s">
        <v>13</v>
      </c>
      <c r="E315" s="10" t="s">
        <v>14</v>
      </c>
      <c r="F315" s="10">
        <v>1000.0</v>
      </c>
      <c r="G315" s="10" t="str">
        <f>IFERROR(VLOOKUP(C315&amp;D315&amp;E315&amp;F315,productID!$A$2:$B$7,2,FALSE))</f>
        <v/>
      </c>
      <c r="H315" s="10">
        <v>2023.0</v>
      </c>
      <c r="I315" s="10" t="s">
        <v>53</v>
      </c>
      <c r="J315" s="10">
        <v>16.213919180589958</v>
      </c>
      <c r="K315" s="11"/>
      <c r="L315" s="12"/>
      <c r="M315" s="9">
        <v>0.7440034844478612</v>
      </c>
    </row>
    <row r="316">
      <c r="A316" s="10" t="s">
        <v>26</v>
      </c>
      <c r="B316" s="10" t="s">
        <v>11</v>
      </c>
      <c r="C316" s="10" t="s">
        <v>27</v>
      </c>
      <c r="D316" s="10" t="s">
        <v>13</v>
      </c>
      <c r="E316" s="10" t="s">
        <v>14</v>
      </c>
      <c r="F316" s="10">
        <v>1000.0</v>
      </c>
      <c r="G316" s="10" t="str">
        <f>IFERROR(VLOOKUP(C316&amp;D316&amp;E316&amp;F316,productID!$A$2:$B$7,2,FALSE))</f>
        <v/>
      </c>
      <c r="H316" s="10">
        <v>2023.0</v>
      </c>
      <c r="I316" s="10" t="s">
        <v>54</v>
      </c>
      <c r="J316" s="10">
        <v>15.630995411759342</v>
      </c>
      <c r="K316" s="11"/>
      <c r="L316" s="12"/>
      <c r="M316" s="9">
        <v>0.7433492562720331</v>
      </c>
    </row>
    <row r="317">
      <c r="A317" s="10" t="s">
        <v>10</v>
      </c>
      <c r="B317" s="10" t="s">
        <v>32</v>
      </c>
      <c r="C317" s="10" t="s">
        <v>33</v>
      </c>
      <c r="D317" s="10" t="s">
        <v>34</v>
      </c>
      <c r="E317" s="10" t="s">
        <v>14</v>
      </c>
      <c r="F317" s="10">
        <v>110.0</v>
      </c>
      <c r="G317" s="10" t="str">
        <f>IFERROR(VLOOKUP(C317&amp;D317&amp;E317&amp;F317,productID!$A$2:$B$7,2,FALSE))</f>
        <v/>
      </c>
      <c r="H317" s="10">
        <v>2022.0</v>
      </c>
      <c r="I317" s="10" t="s">
        <v>51</v>
      </c>
      <c r="J317" s="10">
        <v>20.39222815976366</v>
      </c>
      <c r="K317" s="11"/>
      <c r="L317" s="12"/>
      <c r="M317" s="9">
        <v>1.7871344625171228</v>
      </c>
    </row>
    <row r="318">
      <c r="A318" s="10" t="s">
        <v>10</v>
      </c>
      <c r="B318" s="10" t="s">
        <v>32</v>
      </c>
      <c r="C318" s="10" t="s">
        <v>33</v>
      </c>
      <c r="D318" s="10" t="s">
        <v>34</v>
      </c>
      <c r="E318" s="10" t="s">
        <v>14</v>
      </c>
      <c r="F318" s="10">
        <v>110.0</v>
      </c>
      <c r="G318" s="10" t="str">
        <f>IFERROR(VLOOKUP(C318&amp;D318&amp;E318&amp;F318,productID!$A$2:$B$7,2,FALSE))</f>
        <v/>
      </c>
      <c r="H318" s="10">
        <v>2022.0</v>
      </c>
      <c r="I318" s="10" t="s">
        <v>52</v>
      </c>
      <c r="J318" s="10">
        <v>23.32121613180952</v>
      </c>
      <c r="K318" s="11"/>
      <c r="L318" s="12"/>
      <c r="M318" s="9">
        <v>2.035381956069278</v>
      </c>
    </row>
    <row r="319">
      <c r="A319" s="10" t="s">
        <v>10</v>
      </c>
      <c r="B319" s="10" t="s">
        <v>32</v>
      </c>
      <c r="C319" s="10" t="s">
        <v>33</v>
      </c>
      <c r="D319" s="10" t="s">
        <v>34</v>
      </c>
      <c r="E319" s="10" t="s">
        <v>14</v>
      </c>
      <c r="F319" s="10">
        <v>110.0</v>
      </c>
      <c r="G319" s="10" t="str">
        <f>IFERROR(VLOOKUP(C319&amp;D319&amp;E319&amp;F319,productID!$A$2:$B$7,2,FALSE))</f>
        <v/>
      </c>
      <c r="H319" s="10">
        <v>2022.0</v>
      </c>
      <c r="I319" s="10" t="s">
        <v>53</v>
      </c>
      <c r="J319" s="10">
        <v>24.128187950071208</v>
      </c>
      <c r="K319" s="11"/>
      <c r="L319" s="12"/>
      <c r="M319" s="9">
        <v>2.109078179899944</v>
      </c>
    </row>
    <row r="320">
      <c r="A320" s="10" t="s">
        <v>10</v>
      </c>
      <c r="B320" s="10" t="s">
        <v>32</v>
      </c>
      <c r="C320" s="10" t="s">
        <v>33</v>
      </c>
      <c r="D320" s="10" t="s">
        <v>34</v>
      </c>
      <c r="E320" s="10" t="s">
        <v>14</v>
      </c>
      <c r="F320" s="10">
        <v>110.0</v>
      </c>
      <c r="G320" s="10" t="str">
        <f>IFERROR(VLOOKUP(C320&amp;D320&amp;E320&amp;F320,productID!$A$2:$B$7,2,FALSE))</f>
        <v/>
      </c>
      <c r="H320" s="10">
        <v>2022.0</v>
      </c>
      <c r="I320" s="10" t="s">
        <v>54</v>
      </c>
      <c r="J320" s="10">
        <v>23.721541150630514</v>
      </c>
      <c r="K320" s="11"/>
      <c r="L320" s="12"/>
      <c r="M320" s="9">
        <v>2.1481872354476352</v>
      </c>
    </row>
    <row r="321">
      <c r="A321" s="10" t="s">
        <v>10</v>
      </c>
      <c r="B321" s="10" t="s">
        <v>32</v>
      </c>
      <c r="C321" s="10" t="s">
        <v>33</v>
      </c>
      <c r="D321" s="10" t="s">
        <v>34</v>
      </c>
      <c r="E321" s="10" t="s">
        <v>14</v>
      </c>
      <c r="F321" s="10">
        <v>110.0</v>
      </c>
      <c r="G321" s="10" t="str">
        <f>IFERROR(VLOOKUP(C321&amp;D321&amp;E321&amp;F321,productID!$A$2:$B$7,2,FALSE))</f>
        <v/>
      </c>
      <c r="H321" s="10">
        <v>2023.0</v>
      </c>
      <c r="I321" s="10" t="s">
        <v>51</v>
      </c>
      <c r="J321" s="10">
        <v>25.845202873623094</v>
      </c>
      <c r="K321" s="11"/>
      <c r="L321" s="12"/>
      <c r="M321" s="9">
        <v>2.1914756068874945</v>
      </c>
    </row>
    <row r="322">
      <c r="A322" s="10" t="s">
        <v>10</v>
      </c>
      <c r="B322" s="10" t="s">
        <v>32</v>
      </c>
      <c r="C322" s="10" t="s">
        <v>33</v>
      </c>
      <c r="D322" s="10" t="s">
        <v>34</v>
      </c>
      <c r="E322" s="10" t="s">
        <v>14</v>
      </c>
      <c r="F322" s="10">
        <v>110.0</v>
      </c>
      <c r="G322" s="10" t="str">
        <f>IFERROR(VLOOKUP(C322&amp;D322&amp;E322&amp;F322,productID!$A$2:$B$7,2,FALSE))</f>
        <v/>
      </c>
      <c r="H322" s="10">
        <v>2023.0</v>
      </c>
      <c r="I322" s="10" t="s">
        <v>52</v>
      </c>
      <c r="J322" s="10">
        <v>29.106979335564603</v>
      </c>
      <c r="K322" s="11"/>
      <c r="L322" s="12"/>
      <c r="M322" s="9">
        <v>2.3002662221513837</v>
      </c>
    </row>
    <row r="323">
      <c r="A323" s="10" t="s">
        <v>10</v>
      </c>
      <c r="B323" s="10" t="s">
        <v>32</v>
      </c>
      <c r="C323" s="10" t="s">
        <v>33</v>
      </c>
      <c r="D323" s="10" t="s">
        <v>34</v>
      </c>
      <c r="E323" s="10" t="s">
        <v>14</v>
      </c>
      <c r="F323" s="10">
        <v>110.0</v>
      </c>
      <c r="G323" s="10" t="str">
        <f>IFERROR(VLOOKUP(C323&amp;D323&amp;E323&amp;F323,productID!$A$2:$B$7,2,FALSE))</f>
        <v/>
      </c>
      <c r="H323" s="10">
        <v>2023.0</v>
      </c>
      <c r="I323" s="10" t="s">
        <v>53</v>
      </c>
      <c r="J323" s="10">
        <v>24.62790787268574</v>
      </c>
      <c r="K323" s="11"/>
      <c r="L323" s="12"/>
      <c r="M323" s="9">
        <v>1.994960614023528</v>
      </c>
    </row>
    <row r="324">
      <c r="A324" s="10" t="s">
        <v>10</v>
      </c>
      <c r="B324" s="10" t="s">
        <v>32</v>
      </c>
      <c r="C324" s="10" t="s">
        <v>33</v>
      </c>
      <c r="D324" s="10" t="s">
        <v>34</v>
      </c>
      <c r="E324" s="10" t="s">
        <v>14</v>
      </c>
      <c r="F324" s="10">
        <v>110.0</v>
      </c>
      <c r="G324" s="10" t="str">
        <f>IFERROR(VLOOKUP(C324&amp;D324&amp;E324&amp;F324,productID!$A$2:$B$7,2,FALSE))</f>
        <v/>
      </c>
      <c r="H324" s="10">
        <v>2023.0</v>
      </c>
      <c r="I324" s="10" t="s">
        <v>54</v>
      </c>
      <c r="J324" s="10">
        <v>25.116423758935426</v>
      </c>
      <c r="K324" s="11"/>
      <c r="L324" s="12"/>
      <c r="M324" s="9">
        <v>2.1611595060936395</v>
      </c>
    </row>
    <row r="325">
      <c r="A325" s="10" t="s">
        <v>24</v>
      </c>
      <c r="B325" s="10" t="s">
        <v>32</v>
      </c>
      <c r="C325" s="10" t="s">
        <v>33</v>
      </c>
      <c r="D325" s="10" t="s">
        <v>34</v>
      </c>
      <c r="E325" s="10" t="s">
        <v>14</v>
      </c>
      <c r="F325" s="10">
        <v>110.0</v>
      </c>
      <c r="G325" s="10" t="str">
        <f>IFERROR(VLOOKUP(C325&amp;D325&amp;E325&amp;F325,productID!$A$2:$B$7,2,FALSE))</f>
        <v/>
      </c>
      <c r="H325" s="10">
        <v>2022.0</v>
      </c>
      <c r="I325" s="10" t="s">
        <v>51</v>
      </c>
      <c r="J325" s="10">
        <v>21.46372641929384</v>
      </c>
      <c r="K325" s="11"/>
      <c r="L325" s="12"/>
      <c r="M325" s="9">
        <v>2.3971589753510525</v>
      </c>
    </row>
    <row r="326">
      <c r="A326" s="10" t="s">
        <v>24</v>
      </c>
      <c r="B326" s="10" t="s">
        <v>32</v>
      </c>
      <c r="C326" s="10" t="s">
        <v>33</v>
      </c>
      <c r="D326" s="10" t="s">
        <v>34</v>
      </c>
      <c r="E326" s="10" t="s">
        <v>14</v>
      </c>
      <c r="F326" s="10">
        <v>110.0</v>
      </c>
      <c r="G326" s="10" t="str">
        <f>IFERROR(VLOOKUP(C326&amp;D326&amp;E326&amp;F326,productID!$A$2:$B$7,2,FALSE))</f>
        <v/>
      </c>
      <c r="H326" s="10">
        <v>2022.0</v>
      </c>
      <c r="I326" s="10" t="s">
        <v>52</v>
      </c>
      <c r="J326" s="10">
        <v>22.294661737536984</v>
      </c>
      <c r="K326" s="11"/>
      <c r="L326" s="12"/>
      <c r="M326" s="9">
        <v>2.3801461518321685</v>
      </c>
    </row>
    <row r="327">
      <c r="A327" s="10" t="s">
        <v>24</v>
      </c>
      <c r="B327" s="10" t="s">
        <v>32</v>
      </c>
      <c r="C327" s="10" t="s">
        <v>33</v>
      </c>
      <c r="D327" s="10" t="s">
        <v>34</v>
      </c>
      <c r="E327" s="10" t="s">
        <v>14</v>
      </c>
      <c r="F327" s="10">
        <v>110.0</v>
      </c>
      <c r="G327" s="10" t="str">
        <f>IFERROR(VLOOKUP(C327&amp;D327&amp;E327&amp;F327,productID!$A$2:$B$7,2,FALSE))</f>
        <v/>
      </c>
      <c r="H327" s="10">
        <v>2022.0</v>
      </c>
      <c r="I327" s="10" t="s">
        <v>53</v>
      </c>
      <c r="J327" s="10">
        <v>24.37109651004381</v>
      </c>
      <c r="K327" s="11"/>
      <c r="L327" s="12"/>
      <c r="M327" s="9">
        <v>2.5323815412293853</v>
      </c>
    </row>
    <row r="328">
      <c r="A328" s="10" t="s">
        <v>24</v>
      </c>
      <c r="B328" s="10" t="s">
        <v>32</v>
      </c>
      <c r="C328" s="10" t="s">
        <v>33</v>
      </c>
      <c r="D328" s="10" t="s">
        <v>34</v>
      </c>
      <c r="E328" s="10" t="s">
        <v>14</v>
      </c>
      <c r="F328" s="10">
        <v>110.0</v>
      </c>
      <c r="G328" s="10" t="str">
        <f>IFERROR(VLOOKUP(C328&amp;D328&amp;E328&amp;F328,productID!$A$2:$B$7,2,FALSE))</f>
        <v/>
      </c>
      <c r="H328" s="10">
        <v>2022.0</v>
      </c>
      <c r="I328" s="10" t="s">
        <v>54</v>
      </c>
      <c r="J328" s="10">
        <v>25.991868064369882</v>
      </c>
      <c r="K328" s="11"/>
      <c r="L328" s="12"/>
      <c r="M328" s="9">
        <v>2.790309462881934</v>
      </c>
    </row>
    <row r="329">
      <c r="A329" s="10" t="s">
        <v>24</v>
      </c>
      <c r="B329" s="10" t="s">
        <v>32</v>
      </c>
      <c r="C329" s="10" t="s">
        <v>33</v>
      </c>
      <c r="D329" s="10" t="s">
        <v>34</v>
      </c>
      <c r="E329" s="10" t="s">
        <v>14</v>
      </c>
      <c r="F329" s="10">
        <v>110.0</v>
      </c>
      <c r="G329" s="10" t="str">
        <f>IFERROR(VLOOKUP(C329&amp;D329&amp;E329&amp;F329,productID!$A$2:$B$7,2,FALSE))</f>
        <v/>
      </c>
      <c r="H329" s="10">
        <v>2023.0</v>
      </c>
      <c r="I329" s="10" t="s">
        <v>51</v>
      </c>
      <c r="J329" s="10">
        <v>25.837090995131323</v>
      </c>
      <c r="K329" s="11"/>
      <c r="L329" s="12"/>
      <c r="M329" s="9">
        <v>2.7018843604623646</v>
      </c>
    </row>
    <row r="330">
      <c r="A330" s="10" t="s">
        <v>24</v>
      </c>
      <c r="B330" s="10" t="s">
        <v>32</v>
      </c>
      <c r="C330" s="10" t="s">
        <v>33</v>
      </c>
      <c r="D330" s="10" t="s">
        <v>34</v>
      </c>
      <c r="E330" s="10" t="s">
        <v>14</v>
      </c>
      <c r="F330" s="10">
        <v>110.0</v>
      </c>
      <c r="G330" s="10" t="str">
        <f>IFERROR(VLOOKUP(C330&amp;D330&amp;E330&amp;F330,productID!$A$2:$B$7,2,FALSE))</f>
        <v/>
      </c>
      <c r="H330" s="10">
        <v>2023.0</v>
      </c>
      <c r="I330" s="10" t="s">
        <v>52</v>
      </c>
      <c r="J330" s="10">
        <v>22.92857589484003</v>
      </c>
      <c r="K330" s="11"/>
      <c r="L330" s="12"/>
      <c r="M330" s="9">
        <v>2.3662944699778117</v>
      </c>
    </row>
    <row r="331">
      <c r="A331" s="10" t="s">
        <v>24</v>
      </c>
      <c r="B331" s="10" t="s">
        <v>32</v>
      </c>
      <c r="C331" s="10" t="s">
        <v>33</v>
      </c>
      <c r="D331" s="10" t="s">
        <v>34</v>
      </c>
      <c r="E331" s="10" t="s">
        <v>14</v>
      </c>
      <c r="F331" s="10">
        <v>110.0</v>
      </c>
      <c r="G331" s="10" t="str">
        <f>IFERROR(VLOOKUP(C331&amp;D331&amp;E331&amp;F331,productID!$A$2:$B$7,2,FALSE))</f>
        <v/>
      </c>
      <c r="H331" s="10">
        <v>2023.0</v>
      </c>
      <c r="I331" s="10" t="s">
        <v>53</v>
      </c>
      <c r="J331" s="10">
        <v>23.269172583746478</v>
      </c>
      <c r="K331" s="11"/>
      <c r="L331" s="12"/>
      <c r="M331" s="9">
        <v>2.556057813056899</v>
      </c>
    </row>
    <row r="332">
      <c r="A332" s="10" t="s">
        <v>24</v>
      </c>
      <c r="B332" s="10" t="s">
        <v>32</v>
      </c>
      <c r="C332" s="10" t="s">
        <v>33</v>
      </c>
      <c r="D332" s="10" t="s">
        <v>34</v>
      </c>
      <c r="E332" s="10" t="s">
        <v>14</v>
      </c>
      <c r="F332" s="10">
        <v>110.0</v>
      </c>
      <c r="G332" s="10" t="str">
        <f>IFERROR(VLOOKUP(C332&amp;D332&amp;E332&amp;F332,productID!$A$2:$B$7,2,FALSE))</f>
        <v/>
      </c>
      <c r="H332" s="10">
        <v>2023.0</v>
      </c>
      <c r="I332" s="10" t="s">
        <v>54</v>
      </c>
      <c r="J332" s="10">
        <v>26.18231628182058</v>
      </c>
      <c r="K332" s="11"/>
      <c r="L332" s="12"/>
      <c r="M332" s="9">
        <v>3.3203202502305116</v>
      </c>
    </row>
    <row r="333">
      <c r="A333" s="10" t="s">
        <v>25</v>
      </c>
      <c r="B333" s="10" t="s">
        <v>32</v>
      </c>
      <c r="C333" s="10" t="s">
        <v>33</v>
      </c>
      <c r="D333" s="10" t="s">
        <v>34</v>
      </c>
      <c r="E333" s="10" t="s">
        <v>14</v>
      </c>
      <c r="F333" s="10">
        <v>110.0</v>
      </c>
      <c r="G333" s="10" t="str">
        <f>IFERROR(VLOOKUP(C333&amp;D333&amp;E333&amp;F333,productID!$A$2:$B$7,2,FALSE))</f>
        <v/>
      </c>
      <c r="H333" s="10">
        <v>2022.0</v>
      </c>
      <c r="I333" s="10" t="s">
        <v>51</v>
      </c>
      <c r="J333" s="10">
        <v>45.765366685341434</v>
      </c>
      <c r="K333" s="11"/>
      <c r="L333" s="12"/>
      <c r="M333" s="9">
        <v>4.683109856404891</v>
      </c>
    </row>
    <row r="334">
      <c r="A334" s="10" t="s">
        <v>25</v>
      </c>
      <c r="B334" s="10" t="s">
        <v>32</v>
      </c>
      <c r="C334" s="10" t="s">
        <v>33</v>
      </c>
      <c r="D334" s="10" t="s">
        <v>34</v>
      </c>
      <c r="E334" s="10" t="s">
        <v>14</v>
      </c>
      <c r="F334" s="10">
        <v>110.0</v>
      </c>
      <c r="G334" s="10" t="str">
        <f>IFERROR(VLOOKUP(C334&amp;D334&amp;E334&amp;F334,productID!$A$2:$B$7,2,FALSE))</f>
        <v/>
      </c>
      <c r="H334" s="10">
        <v>2022.0</v>
      </c>
      <c r="I334" s="10" t="s">
        <v>52</v>
      </c>
      <c r="J334" s="10">
        <v>57.40598276935756</v>
      </c>
      <c r="K334" s="11"/>
      <c r="L334" s="12"/>
      <c r="M334" s="9">
        <v>5.8225285487795535</v>
      </c>
    </row>
    <row r="335">
      <c r="A335" s="10" t="s">
        <v>25</v>
      </c>
      <c r="B335" s="10" t="s">
        <v>32</v>
      </c>
      <c r="C335" s="10" t="s">
        <v>33</v>
      </c>
      <c r="D335" s="10" t="s">
        <v>34</v>
      </c>
      <c r="E335" s="10" t="s">
        <v>14</v>
      </c>
      <c r="F335" s="10">
        <v>110.0</v>
      </c>
      <c r="G335" s="10" t="str">
        <f>IFERROR(VLOOKUP(C335&amp;D335&amp;E335&amp;F335,productID!$A$2:$B$7,2,FALSE))</f>
        <v/>
      </c>
      <c r="H335" s="10">
        <v>2022.0</v>
      </c>
      <c r="I335" s="10" t="s">
        <v>53</v>
      </c>
      <c r="J335" s="10">
        <v>63.48884415274039</v>
      </c>
      <c r="K335" s="11"/>
      <c r="L335" s="12"/>
      <c r="M335" s="9">
        <v>6.192347289154222</v>
      </c>
    </row>
    <row r="336">
      <c r="A336" s="10" t="s">
        <v>25</v>
      </c>
      <c r="B336" s="10" t="s">
        <v>32</v>
      </c>
      <c r="C336" s="10" t="s">
        <v>33</v>
      </c>
      <c r="D336" s="10" t="s">
        <v>34</v>
      </c>
      <c r="E336" s="10" t="s">
        <v>14</v>
      </c>
      <c r="F336" s="10">
        <v>110.0</v>
      </c>
      <c r="G336" s="10" t="str">
        <f>IFERROR(VLOOKUP(C336&amp;D336&amp;E336&amp;F336,productID!$A$2:$B$7,2,FALSE))</f>
        <v/>
      </c>
      <c r="H336" s="10">
        <v>2022.0</v>
      </c>
      <c r="I336" s="10" t="s">
        <v>54</v>
      </c>
      <c r="J336" s="10">
        <v>76.83175773827399</v>
      </c>
      <c r="K336" s="11"/>
      <c r="L336" s="12"/>
      <c r="M336" s="9">
        <v>7.392121883442863</v>
      </c>
    </row>
    <row r="337">
      <c r="A337" s="10" t="s">
        <v>25</v>
      </c>
      <c r="B337" s="10" t="s">
        <v>32</v>
      </c>
      <c r="C337" s="10" t="s">
        <v>33</v>
      </c>
      <c r="D337" s="10" t="s">
        <v>34</v>
      </c>
      <c r="E337" s="10" t="s">
        <v>14</v>
      </c>
      <c r="F337" s="10">
        <v>110.0</v>
      </c>
      <c r="G337" s="10" t="str">
        <f>IFERROR(VLOOKUP(C337&amp;D337&amp;E337&amp;F337,productID!$A$2:$B$7,2,FALSE))</f>
        <v/>
      </c>
      <c r="H337" s="10">
        <v>2023.0</v>
      </c>
      <c r="I337" s="10" t="s">
        <v>51</v>
      </c>
      <c r="J337" s="10">
        <v>71.32782869010592</v>
      </c>
      <c r="K337" s="11"/>
      <c r="L337" s="12"/>
      <c r="M337" s="9">
        <v>6.495328802845418</v>
      </c>
    </row>
    <row r="338">
      <c r="A338" s="10" t="s">
        <v>25</v>
      </c>
      <c r="B338" s="10" t="s">
        <v>32</v>
      </c>
      <c r="C338" s="10" t="s">
        <v>33</v>
      </c>
      <c r="D338" s="10" t="s">
        <v>34</v>
      </c>
      <c r="E338" s="10" t="s">
        <v>14</v>
      </c>
      <c r="F338" s="10">
        <v>110.0</v>
      </c>
      <c r="G338" s="10" t="str">
        <f>IFERROR(VLOOKUP(C338&amp;D338&amp;E338&amp;F338,productID!$A$2:$B$7,2,FALSE))</f>
        <v/>
      </c>
      <c r="H338" s="10">
        <v>2023.0</v>
      </c>
      <c r="I338" s="10" t="s">
        <v>52</v>
      </c>
      <c r="J338" s="10">
        <v>72.54930999346378</v>
      </c>
      <c r="K338" s="11"/>
      <c r="L338" s="12"/>
      <c r="M338" s="9">
        <v>6.513903497379202</v>
      </c>
    </row>
    <row r="339">
      <c r="A339" s="10" t="s">
        <v>25</v>
      </c>
      <c r="B339" s="10" t="s">
        <v>32</v>
      </c>
      <c r="C339" s="10" t="s">
        <v>33</v>
      </c>
      <c r="D339" s="10" t="s">
        <v>34</v>
      </c>
      <c r="E339" s="10" t="s">
        <v>14</v>
      </c>
      <c r="F339" s="10">
        <v>110.0</v>
      </c>
      <c r="G339" s="10" t="str">
        <f>IFERROR(VLOOKUP(C339&amp;D339&amp;E339&amp;F339,productID!$A$2:$B$7,2,FALSE))</f>
        <v/>
      </c>
      <c r="H339" s="10">
        <v>2023.0</v>
      </c>
      <c r="I339" s="10" t="s">
        <v>53</v>
      </c>
      <c r="J339" s="10">
        <v>67.72152868244905</v>
      </c>
      <c r="K339" s="11"/>
      <c r="L339" s="12"/>
      <c r="M339" s="9">
        <v>6.454267371318391</v>
      </c>
    </row>
    <row r="340">
      <c r="A340" s="10" t="s">
        <v>25</v>
      </c>
      <c r="B340" s="10" t="s">
        <v>32</v>
      </c>
      <c r="C340" s="10" t="s">
        <v>33</v>
      </c>
      <c r="D340" s="10" t="s">
        <v>34</v>
      </c>
      <c r="E340" s="10" t="s">
        <v>14</v>
      </c>
      <c r="F340" s="10">
        <v>110.0</v>
      </c>
      <c r="G340" s="10" t="str">
        <f>IFERROR(VLOOKUP(C340&amp;D340&amp;E340&amp;F340,productID!$A$2:$B$7,2,FALSE))</f>
        <v/>
      </c>
      <c r="H340" s="10">
        <v>2023.0</v>
      </c>
      <c r="I340" s="10" t="s">
        <v>54</v>
      </c>
      <c r="J340" s="10">
        <v>55.314488591384695</v>
      </c>
      <c r="K340" s="11"/>
      <c r="L340" s="12"/>
      <c r="M340" s="9">
        <v>5.62994804036495</v>
      </c>
    </row>
    <row r="341">
      <c r="A341" s="10" t="s">
        <v>26</v>
      </c>
      <c r="B341" s="10" t="s">
        <v>32</v>
      </c>
      <c r="C341" s="10" t="s">
        <v>33</v>
      </c>
      <c r="D341" s="10" t="s">
        <v>34</v>
      </c>
      <c r="E341" s="10" t="s">
        <v>14</v>
      </c>
      <c r="F341" s="10">
        <v>110.0</v>
      </c>
      <c r="G341" s="10" t="str">
        <f>IFERROR(VLOOKUP(C341&amp;D341&amp;E341&amp;F341,productID!$A$2:$B$7,2,FALSE))</f>
        <v/>
      </c>
      <c r="H341" s="10">
        <v>2022.0</v>
      </c>
      <c r="I341" s="10" t="s">
        <v>51</v>
      </c>
      <c r="J341" s="10">
        <v>50.379726941529654</v>
      </c>
      <c r="K341" s="11"/>
      <c r="L341" s="12"/>
      <c r="M341" s="9">
        <v>2.4388586851963634</v>
      </c>
    </row>
    <row r="342">
      <c r="A342" s="10" t="s">
        <v>26</v>
      </c>
      <c r="B342" s="10" t="s">
        <v>32</v>
      </c>
      <c r="C342" s="10" t="s">
        <v>33</v>
      </c>
      <c r="D342" s="10" t="s">
        <v>34</v>
      </c>
      <c r="E342" s="10" t="s">
        <v>14</v>
      </c>
      <c r="F342" s="10">
        <v>110.0</v>
      </c>
      <c r="G342" s="10" t="str">
        <f>IFERROR(VLOOKUP(C342&amp;D342&amp;E342&amp;F342,productID!$A$2:$B$7,2,FALSE))</f>
        <v/>
      </c>
      <c r="H342" s="10">
        <v>2022.0</v>
      </c>
      <c r="I342" s="10" t="s">
        <v>52</v>
      </c>
      <c r="J342" s="10">
        <v>51.1948656928683</v>
      </c>
      <c r="K342" s="11"/>
      <c r="L342" s="12"/>
      <c r="M342" s="9">
        <v>2.4378828285172625</v>
      </c>
    </row>
    <row r="343">
      <c r="A343" s="10" t="s">
        <v>26</v>
      </c>
      <c r="B343" s="10" t="s">
        <v>32</v>
      </c>
      <c r="C343" s="10" t="s">
        <v>33</v>
      </c>
      <c r="D343" s="10" t="s">
        <v>34</v>
      </c>
      <c r="E343" s="10" t="s">
        <v>14</v>
      </c>
      <c r="F343" s="10">
        <v>110.0</v>
      </c>
      <c r="G343" s="10" t="str">
        <f>IFERROR(VLOOKUP(C343&amp;D343&amp;E343&amp;F343,productID!$A$2:$B$7,2,FALSE))</f>
        <v/>
      </c>
      <c r="H343" s="10">
        <v>2022.0</v>
      </c>
      <c r="I343" s="10" t="s">
        <v>53</v>
      </c>
      <c r="J343" s="10">
        <v>55.97652655477111</v>
      </c>
      <c r="K343" s="11"/>
      <c r="L343" s="12"/>
      <c r="M343" s="9">
        <v>2.6725654940998287</v>
      </c>
    </row>
    <row r="344">
      <c r="A344" s="10" t="s">
        <v>26</v>
      </c>
      <c r="B344" s="10" t="s">
        <v>32</v>
      </c>
      <c r="C344" s="10" t="s">
        <v>33</v>
      </c>
      <c r="D344" s="10" t="s">
        <v>34</v>
      </c>
      <c r="E344" s="10" t="s">
        <v>14</v>
      </c>
      <c r="F344" s="10">
        <v>110.0</v>
      </c>
      <c r="G344" s="10" t="str">
        <f>IFERROR(VLOOKUP(C344&amp;D344&amp;E344&amp;F344,productID!$A$2:$B$7,2,FALSE))</f>
        <v/>
      </c>
      <c r="H344" s="10">
        <v>2022.0</v>
      </c>
      <c r="I344" s="10" t="s">
        <v>54</v>
      </c>
      <c r="J344" s="10">
        <v>56.78248288225132</v>
      </c>
      <c r="K344" s="11"/>
      <c r="L344" s="12"/>
      <c r="M344" s="9">
        <v>2.6598194356683087</v>
      </c>
    </row>
    <row r="345">
      <c r="A345" s="10" t="s">
        <v>26</v>
      </c>
      <c r="B345" s="10" t="s">
        <v>32</v>
      </c>
      <c r="C345" s="10" t="s">
        <v>33</v>
      </c>
      <c r="D345" s="10" t="s">
        <v>34</v>
      </c>
      <c r="E345" s="10" t="s">
        <v>14</v>
      </c>
      <c r="F345" s="10">
        <v>110.0</v>
      </c>
      <c r="G345" s="10" t="str">
        <f>IFERROR(VLOOKUP(C345&amp;D345&amp;E345&amp;F345,productID!$A$2:$B$7,2,FALSE))</f>
        <v/>
      </c>
      <c r="H345" s="10">
        <v>2023.0</v>
      </c>
      <c r="I345" s="10" t="s">
        <v>51</v>
      </c>
      <c r="J345" s="10">
        <v>57.20184544916787</v>
      </c>
      <c r="K345" s="11"/>
      <c r="L345" s="12"/>
      <c r="M345" s="9">
        <v>2.652983276262332</v>
      </c>
    </row>
    <row r="346">
      <c r="A346" s="10" t="s">
        <v>26</v>
      </c>
      <c r="B346" s="10" t="s">
        <v>32</v>
      </c>
      <c r="C346" s="10" t="s">
        <v>33</v>
      </c>
      <c r="D346" s="10" t="s">
        <v>34</v>
      </c>
      <c r="E346" s="10" t="s">
        <v>14</v>
      </c>
      <c r="F346" s="10">
        <v>110.0</v>
      </c>
      <c r="G346" s="10" t="str">
        <f>IFERROR(VLOOKUP(C346&amp;D346&amp;E346&amp;F346,productID!$A$2:$B$7,2,FALSE))</f>
        <v/>
      </c>
      <c r="H346" s="10">
        <v>2023.0</v>
      </c>
      <c r="I346" s="10" t="s">
        <v>52</v>
      </c>
      <c r="J346" s="10">
        <v>55.53406957026306</v>
      </c>
      <c r="K346" s="11"/>
      <c r="L346" s="12"/>
      <c r="M346" s="9">
        <v>2.492241965168288</v>
      </c>
    </row>
    <row r="347">
      <c r="A347" s="10" t="s">
        <v>26</v>
      </c>
      <c r="B347" s="10" t="s">
        <v>32</v>
      </c>
      <c r="C347" s="10" t="s">
        <v>33</v>
      </c>
      <c r="D347" s="10" t="s">
        <v>34</v>
      </c>
      <c r="E347" s="10" t="s">
        <v>14</v>
      </c>
      <c r="F347" s="10">
        <v>110.0</v>
      </c>
      <c r="G347" s="10" t="str">
        <f>IFERROR(VLOOKUP(C347&amp;D347&amp;E347&amp;F347,productID!$A$2:$B$7,2,FALSE))</f>
        <v/>
      </c>
      <c r="H347" s="10">
        <v>2023.0</v>
      </c>
      <c r="I347" s="10" t="s">
        <v>53</v>
      </c>
      <c r="J347" s="10">
        <v>55.44926537161957</v>
      </c>
      <c r="K347" s="11"/>
      <c r="L347" s="12"/>
      <c r="M347" s="9">
        <v>2.5443846233022858</v>
      </c>
    </row>
    <row r="348">
      <c r="A348" s="10" t="s">
        <v>26</v>
      </c>
      <c r="B348" s="10" t="s">
        <v>32</v>
      </c>
      <c r="C348" s="10" t="s">
        <v>33</v>
      </c>
      <c r="D348" s="10" t="s">
        <v>34</v>
      </c>
      <c r="E348" s="10" t="s">
        <v>14</v>
      </c>
      <c r="F348" s="10">
        <v>110.0</v>
      </c>
      <c r="G348" s="10" t="str">
        <f>IFERROR(VLOOKUP(C348&amp;D348&amp;E348&amp;F348,productID!$A$2:$B$7,2,FALSE))</f>
        <v/>
      </c>
      <c r="H348" s="10">
        <v>2023.0</v>
      </c>
      <c r="I348" s="10" t="s">
        <v>54</v>
      </c>
      <c r="J348" s="10">
        <v>49.220313663768614</v>
      </c>
      <c r="K348" s="11"/>
      <c r="L348" s="12"/>
      <c r="M348" s="9">
        <v>2.340726395960246</v>
      </c>
    </row>
    <row r="349">
      <c r="A349" s="10" t="s">
        <v>10</v>
      </c>
      <c r="B349" s="10" t="s">
        <v>32</v>
      </c>
      <c r="C349" s="10" t="s">
        <v>33</v>
      </c>
      <c r="D349" s="10" t="s">
        <v>34</v>
      </c>
      <c r="E349" s="10" t="s">
        <v>14</v>
      </c>
      <c r="F349" s="10">
        <v>180.0</v>
      </c>
      <c r="G349" s="10" t="str">
        <f>IFERROR(VLOOKUP(C349&amp;D349&amp;E349&amp;F349,productID!$A$2:$B$7,2,FALSE))</f>
        <v/>
      </c>
      <c r="H349" s="10">
        <v>2022.0</v>
      </c>
      <c r="I349" s="10" t="s">
        <v>51</v>
      </c>
      <c r="J349" s="10">
        <v>16.15315255860675</v>
      </c>
      <c r="K349" s="11"/>
      <c r="L349" s="12"/>
      <c r="M349" s="9">
        <v>1.4156302778498004</v>
      </c>
    </row>
    <row r="350">
      <c r="A350" s="10" t="s">
        <v>10</v>
      </c>
      <c r="B350" s="10" t="s">
        <v>32</v>
      </c>
      <c r="C350" s="10" t="s">
        <v>33</v>
      </c>
      <c r="D350" s="10" t="s">
        <v>34</v>
      </c>
      <c r="E350" s="10" t="s">
        <v>14</v>
      </c>
      <c r="F350" s="10">
        <v>180.0</v>
      </c>
      <c r="G350" s="10" t="str">
        <f>IFERROR(VLOOKUP(C350&amp;D350&amp;E350&amp;F350,productID!$A$2:$B$7,2,FALSE))</f>
        <v/>
      </c>
      <c r="H350" s="10">
        <v>2022.0</v>
      </c>
      <c r="I350" s="10" t="s">
        <v>52</v>
      </c>
      <c r="J350" s="10">
        <v>17.09824579834971</v>
      </c>
      <c r="K350" s="11"/>
      <c r="L350" s="12"/>
      <c r="M350" s="9">
        <v>1.4922661314788843</v>
      </c>
    </row>
    <row r="351">
      <c r="A351" s="10" t="s">
        <v>10</v>
      </c>
      <c r="B351" s="10" t="s">
        <v>32</v>
      </c>
      <c r="C351" s="10" t="s">
        <v>33</v>
      </c>
      <c r="D351" s="10" t="s">
        <v>34</v>
      </c>
      <c r="E351" s="10" t="s">
        <v>14</v>
      </c>
      <c r="F351" s="10">
        <v>180.0</v>
      </c>
      <c r="G351" s="10" t="str">
        <f>IFERROR(VLOOKUP(C351&amp;D351&amp;E351&amp;F351,productID!$A$2:$B$7,2,FALSE))</f>
        <v/>
      </c>
      <c r="H351" s="10">
        <v>2022.0</v>
      </c>
      <c r="I351" s="10" t="s">
        <v>53</v>
      </c>
      <c r="J351" s="10">
        <v>18.53147208980782</v>
      </c>
      <c r="K351" s="11"/>
      <c r="L351" s="12"/>
      <c r="M351" s="9">
        <v>1.6198615290512581</v>
      </c>
    </row>
    <row r="352">
      <c r="A352" s="10" t="s">
        <v>10</v>
      </c>
      <c r="B352" s="10" t="s">
        <v>32</v>
      </c>
      <c r="C352" s="10" t="s">
        <v>33</v>
      </c>
      <c r="D352" s="10" t="s">
        <v>34</v>
      </c>
      <c r="E352" s="10" t="s">
        <v>14</v>
      </c>
      <c r="F352" s="10">
        <v>180.0</v>
      </c>
      <c r="G352" s="10" t="str">
        <f>IFERROR(VLOOKUP(C352&amp;D352&amp;E352&amp;F352,productID!$A$2:$B$7,2,FALSE))</f>
        <v/>
      </c>
      <c r="H352" s="10">
        <v>2022.0</v>
      </c>
      <c r="I352" s="10" t="s">
        <v>54</v>
      </c>
      <c r="J352" s="10">
        <v>20.099577992469563</v>
      </c>
      <c r="K352" s="11"/>
      <c r="L352" s="12"/>
      <c r="M352" s="9">
        <v>1.820187676978132</v>
      </c>
    </row>
    <row r="353">
      <c r="A353" s="10" t="s">
        <v>10</v>
      </c>
      <c r="B353" s="10" t="s">
        <v>32</v>
      </c>
      <c r="C353" s="10" t="s">
        <v>33</v>
      </c>
      <c r="D353" s="10" t="s">
        <v>34</v>
      </c>
      <c r="E353" s="10" t="s">
        <v>14</v>
      </c>
      <c r="F353" s="10">
        <v>180.0</v>
      </c>
      <c r="G353" s="10" t="str">
        <f>IFERROR(VLOOKUP(C353&amp;D353&amp;E353&amp;F353,productID!$A$2:$B$7,2,FALSE))</f>
        <v/>
      </c>
      <c r="H353" s="10">
        <v>2023.0</v>
      </c>
      <c r="I353" s="10" t="s">
        <v>51</v>
      </c>
      <c r="J353" s="10">
        <v>22.741061337987617</v>
      </c>
      <c r="K353" s="11"/>
      <c r="L353" s="12"/>
      <c r="M353" s="9">
        <v>1.9282681370550934</v>
      </c>
    </row>
    <row r="354">
      <c r="A354" s="10" t="s">
        <v>10</v>
      </c>
      <c r="B354" s="10" t="s">
        <v>32</v>
      </c>
      <c r="C354" s="10" t="s">
        <v>33</v>
      </c>
      <c r="D354" s="10" t="s">
        <v>34</v>
      </c>
      <c r="E354" s="10" t="s">
        <v>14</v>
      </c>
      <c r="F354" s="10">
        <v>180.0</v>
      </c>
      <c r="G354" s="10" t="str">
        <f>IFERROR(VLOOKUP(C354&amp;D354&amp;E354&amp;F354,productID!$A$2:$B$7,2,FALSE))</f>
        <v/>
      </c>
      <c r="H354" s="10">
        <v>2023.0</v>
      </c>
      <c r="I354" s="10" t="s">
        <v>52</v>
      </c>
      <c r="J354" s="10">
        <v>24.27222314031529</v>
      </c>
      <c r="K354" s="11"/>
      <c r="L354" s="12"/>
      <c r="M354" s="9">
        <v>1.918185132937136</v>
      </c>
    </row>
    <row r="355">
      <c r="A355" s="10" t="s">
        <v>10</v>
      </c>
      <c r="B355" s="10" t="s">
        <v>32</v>
      </c>
      <c r="C355" s="10" t="s">
        <v>33</v>
      </c>
      <c r="D355" s="10" t="s">
        <v>34</v>
      </c>
      <c r="E355" s="10" t="s">
        <v>14</v>
      </c>
      <c r="F355" s="10">
        <v>180.0</v>
      </c>
      <c r="G355" s="10" t="str">
        <f>IFERROR(VLOOKUP(C355&amp;D355&amp;E355&amp;F355,productID!$A$2:$B$7,2,FALSE))</f>
        <v/>
      </c>
      <c r="H355" s="10">
        <v>2023.0</v>
      </c>
      <c r="I355" s="10" t="s">
        <v>53</v>
      </c>
      <c r="J355" s="10">
        <v>25.654546475225516</v>
      </c>
      <c r="K355" s="11"/>
      <c r="L355" s="12"/>
      <c r="M355" s="9">
        <v>2.0781225126099083</v>
      </c>
    </row>
    <row r="356">
      <c r="A356" s="10" t="s">
        <v>10</v>
      </c>
      <c r="B356" s="10" t="s">
        <v>32</v>
      </c>
      <c r="C356" s="10" t="s">
        <v>33</v>
      </c>
      <c r="D356" s="10" t="s">
        <v>34</v>
      </c>
      <c r="E356" s="10" t="s">
        <v>14</v>
      </c>
      <c r="F356" s="10">
        <v>180.0</v>
      </c>
      <c r="G356" s="10" t="str">
        <f>IFERROR(VLOOKUP(C356&amp;D356&amp;E356&amp;F356,productID!$A$2:$B$7,2,FALSE))</f>
        <v/>
      </c>
      <c r="H356" s="10">
        <v>2023.0</v>
      </c>
      <c r="I356" s="10" t="s">
        <v>54</v>
      </c>
      <c r="J356" s="10">
        <v>23.417294746703334</v>
      </c>
      <c r="K356" s="11"/>
      <c r="L356" s="12"/>
      <c r="M356" s="9">
        <v>2.0149568121070605</v>
      </c>
    </row>
    <row r="357">
      <c r="A357" s="10" t="s">
        <v>24</v>
      </c>
      <c r="B357" s="10" t="s">
        <v>32</v>
      </c>
      <c r="C357" s="10" t="s">
        <v>33</v>
      </c>
      <c r="D357" s="10" t="s">
        <v>34</v>
      </c>
      <c r="E357" s="10" t="s">
        <v>14</v>
      </c>
      <c r="F357" s="10">
        <v>180.0</v>
      </c>
      <c r="G357" s="10" t="str">
        <f>IFERROR(VLOOKUP(C357&amp;D357&amp;E357&amp;F357,productID!$A$2:$B$7,2,FALSE))</f>
        <v/>
      </c>
      <c r="H357" s="10">
        <v>2022.0</v>
      </c>
      <c r="I357" s="10" t="s">
        <v>51</v>
      </c>
      <c r="J357" s="10">
        <v>2.3943127859579345</v>
      </c>
      <c r="K357" s="11"/>
      <c r="L357" s="12"/>
      <c r="M357" s="9">
        <v>0.2674068925653814</v>
      </c>
    </row>
    <row r="358">
      <c r="A358" s="10" t="s">
        <v>24</v>
      </c>
      <c r="B358" s="10" t="s">
        <v>32</v>
      </c>
      <c r="C358" s="10" t="s">
        <v>33</v>
      </c>
      <c r="D358" s="10" t="s">
        <v>34</v>
      </c>
      <c r="E358" s="10" t="s">
        <v>14</v>
      </c>
      <c r="F358" s="10">
        <v>180.0</v>
      </c>
      <c r="G358" s="10" t="str">
        <f>IFERROR(VLOOKUP(C358&amp;D358&amp;E358&amp;F358,productID!$A$2:$B$7,2,FALSE))</f>
        <v/>
      </c>
      <c r="H358" s="10">
        <v>2022.0</v>
      </c>
      <c r="I358" s="10" t="s">
        <v>52</v>
      </c>
      <c r="J358" s="10">
        <v>2.9424117429518266</v>
      </c>
      <c r="K358" s="11"/>
      <c r="L358" s="12"/>
      <c r="M358" s="9">
        <v>0.31412766291498245</v>
      </c>
    </row>
    <row r="359">
      <c r="A359" s="10" t="s">
        <v>24</v>
      </c>
      <c r="B359" s="10" t="s">
        <v>32</v>
      </c>
      <c r="C359" s="10" t="s">
        <v>33</v>
      </c>
      <c r="D359" s="10" t="s">
        <v>34</v>
      </c>
      <c r="E359" s="10" t="s">
        <v>14</v>
      </c>
      <c r="F359" s="10">
        <v>180.0</v>
      </c>
      <c r="G359" s="10" t="str">
        <f>IFERROR(VLOOKUP(C359&amp;D359&amp;E359&amp;F359,productID!$A$2:$B$7,2,FALSE))</f>
        <v/>
      </c>
      <c r="H359" s="10">
        <v>2022.0</v>
      </c>
      <c r="I359" s="10" t="s">
        <v>53</v>
      </c>
      <c r="J359" s="10">
        <v>4.0072438539018735</v>
      </c>
      <c r="K359" s="11"/>
      <c r="L359" s="12"/>
      <c r="M359" s="9">
        <v>0.4163895687928474</v>
      </c>
    </row>
    <row r="360">
      <c r="A360" s="10" t="s">
        <v>24</v>
      </c>
      <c r="B360" s="10" t="s">
        <v>32</v>
      </c>
      <c r="C360" s="10" t="s">
        <v>33</v>
      </c>
      <c r="D360" s="10" t="s">
        <v>34</v>
      </c>
      <c r="E360" s="10" t="s">
        <v>14</v>
      </c>
      <c r="F360" s="10">
        <v>180.0</v>
      </c>
      <c r="G360" s="10" t="str">
        <f>IFERROR(VLOOKUP(C360&amp;D360&amp;E360&amp;F360,productID!$A$2:$B$7,2,FALSE))</f>
        <v/>
      </c>
      <c r="H360" s="10">
        <v>2022.0</v>
      </c>
      <c r="I360" s="10" t="s">
        <v>54</v>
      </c>
      <c r="J360" s="10">
        <v>2.1204863592187353</v>
      </c>
      <c r="K360" s="11"/>
      <c r="L360" s="12"/>
      <c r="M360" s="9">
        <v>0.22764093521046186</v>
      </c>
    </row>
    <row r="361">
      <c r="A361" s="10" t="s">
        <v>24</v>
      </c>
      <c r="B361" s="10" t="s">
        <v>32</v>
      </c>
      <c r="C361" s="10" t="s">
        <v>33</v>
      </c>
      <c r="D361" s="10" t="s">
        <v>34</v>
      </c>
      <c r="E361" s="10" t="s">
        <v>14</v>
      </c>
      <c r="F361" s="10">
        <v>180.0</v>
      </c>
      <c r="G361" s="10" t="str">
        <f>IFERROR(VLOOKUP(C361&amp;D361&amp;E361&amp;F361,productID!$A$2:$B$7,2,FALSE))</f>
        <v/>
      </c>
      <c r="H361" s="10">
        <v>2023.0</v>
      </c>
      <c r="I361" s="10" t="s">
        <v>51</v>
      </c>
      <c r="J361" s="10">
        <v>2.484781400912199</v>
      </c>
      <c r="K361" s="11"/>
      <c r="L361" s="12"/>
      <c r="M361" s="9">
        <v>0.25984318465099365</v>
      </c>
    </row>
    <row r="362">
      <c r="A362" s="10" t="s">
        <v>24</v>
      </c>
      <c r="B362" s="10" t="s">
        <v>32</v>
      </c>
      <c r="C362" s="10" t="s">
        <v>33</v>
      </c>
      <c r="D362" s="10" t="s">
        <v>34</v>
      </c>
      <c r="E362" s="10" t="s">
        <v>14</v>
      </c>
      <c r="F362" s="10">
        <v>180.0</v>
      </c>
      <c r="G362" s="10" t="str">
        <f>IFERROR(VLOOKUP(C362&amp;D362&amp;E362&amp;F362,productID!$A$2:$B$7,2,FALSE))</f>
        <v/>
      </c>
      <c r="H362" s="10">
        <v>2023.0</v>
      </c>
      <c r="I362" s="10" t="s">
        <v>52</v>
      </c>
      <c r="J362" s="10">
        <v>2.4613033916543006</v>
      </c>
      <c r="K362" s="11"/>
      <c r="L362" s="12"/>
      <c r="M362" s="9">
        <v>0.2540135345222162</v>
      </c>
    </row>
    <row r="363">
      <c r="A363" s="10" t="s">
        <v>24</v>
      </c>
      <c r="B363" s="10" t="s">
        <v>32</v>
      </c>
      <c r="C363" s="10" t="s">
        <v>33</v>
      </c>
      <c r="D363" s="10" t="s">
        <v>34</v>
      </c>
      <c r="E363" s="10" t="s">
        <v>14</v>
      </c>
      <c r="F363" s="10">
        <v>180.0</v>
      </c>
      <c r="G363" s="10" t="str">
        <f>IFERROR(VLOOKUP(C363&amp;D363&amp;E363&amp;F363,productID!$A$2:$B$7,2,FALSE))</f>
        <v/>
      </c>
      <c r="H363" s="10">
        <v>2023.0</v>
      </c>
      <c r="I363" s="10" t="s">
        <v>53</v>
      </c>
      <c r="J363" s="10">
        <v>1.3175708811147624</v>
      </c>
      <c r="K363" s="11"/>
      <c r="L363" s="12"/>
      <c r="M363" s="9">
        <v>0.14473171887865285</v>
      </c>
    </row>
    <row r="364">
      <c r="A364" s="10" t="s">
        <v>24</v>
      </c>
      <c r="B364" s="10" t="s">
        <v>32</v>
      </c>
      <c r="C364" s="10" t="s">
        <v>33</v>
      </c>
      <c r="D364" s="10" t="s">
        <v>34</v>
      </c>
      <c r="E364" s="10" t="s">
        <v>14</v>
      </c>
      <c r="F364" s="10">
        <v>180.0</v>
      </c>
      <c r="G364" s="10" t="str">
        <f>IFERROR(VLOOKUP(C364&amp;D364&amp;E364&amp;F364,productID!$A$2:$B$7,2,FALSE))</f>
        <v/>
      </c>
      <c r="H364" s="10">
        <v>2023.0</v>
      </c>
      <c r="I364" s="10" t="s">
        <v>54</v>
      </c>
      <c r="J364" s="10">
        <v>1.3258725617173686</v>
      </c>
      <c r="K364" s="11"/>
      <c r="L364" s="12"/>
      <c r="M364" s="9">
        <v>0.1681410257407932</v>
      </c>
    </row>
    <row r="365">
      <c r="A365" s="10" t="s">
        <v>25</v>
      </c>
      <c r="B365" s="10" t="s">
        <v>32</v>
      </c>
      <c r="C365" s="10" t="s">
        <v>33</v>
      </c>
      <c r="D365" s="10" t="s">
        <v>34</v>
      </c>
      <c r="E365" s="10" t="s">
        <v>14</v>
      </c>
      <c r="F365" s="10">
        <v>180.0</v>
      </c>
      <c r="G365" s="10" t="str">
        <f>IFERROR(VLOOKUP(C365&amp;D365&amp;E365&amp;F365,productID!$A$2:$B$7,2,FALSE))</f>
        <v/>
      </c>
      <c r="H365" s="10">
        <v>2022.0</v>
      </c>
      <c r="I365" s="10" t="s">
        <v>51</v>
      </c>
      <c r="J365" s="10">
        <v>18.943247601032223</v>
      </c>
      <c r="K365" s="11"/>
      <c r="L365" s="12"/>
      <c r="M365" s="9">
        <v>1.9384376435276554</v>
      </c>
    </row>
    <row r="366">
      <c r="A366" s="10" t="s">
        <v>25</v>
      </c>
      <c r="B366" s="10" t="s">
        <v>32</v>
      </c>
      <c r="C366" s="10" t="s">
        <v>33</v>
      </c>
      <c r="D366" s="10" t="s">
        <v>34</v>
      </c>
      <c r="E366" s="10" t="s">
        <v>14</v>
      </c>
      <c r="F366" s="10">
        <v>180.0</v>
      </c>
      <c r="G366" s="10" t="str">
        <f>IFERROR(VLOOKUP(C366&amp;D366&amp;E366&amp;F366,productID!$A$2:$B$7,2,FALSE))</f>
        <v/>
      </c>
      <c r="H366" s="10">
        <v>2022.0</v>
      </c>
      <c r="I366" s="10" t="s">
        <v>52</v>
      </c>
      <c r="J366" s="10">
        <v>13.53693217227466</v>
      </c>
      <c r="K366" s="11"/>
      <c r="L366" s="12"/>
      <c r="M366" s="9">
        <v>1.3730132337013854</v>
      </c>
    </row>
    <row r="367">
      <c r="A367" s="10" t="s">
        <v>25</v>
      </c>
      <c r="B367" s="10" t="s">
        <v>32</v>
      </c>
      <c r="C367" s="10" t="s">
        <v>33</v>
      </c>
      <c r="D367" s="10" t="s">
        <v>34</v>
      </c>
      <c r="E367" s="10" t="s">
        <v>14</v>
      </c>
      <c r="F367" s="10">
        <v>180.0</v>
      </c>
      <c r="G367" s="10" t="str">
        <f>IFERROR(VLOOKUP(C367&amp;D367&amp;E367&amp;F367,productID!$A$2:$B$7,2,FALSE))</f>
        <v/>
      </c>
      <c r="H367" s="10">
        <v>2022.0</v>
      </c>
      <c r="I367" s="10" t="s">
        <v>53</v>
      </c>
      <c r="J367" s="10">
        <v>12.226671316511531</v>
      </c>
      <c r="K367" s="11"/>
      <c r="L367" s="12"/>
      <c r="M367" s="9">
        <v>1.1925212372749092</v>
      </c>
    </row>
    <row r="368">
      <c r="A368" s="10" t="s">
        <v>25</v>
      </c>
      <c r="B368" s="10" t="s">
        <v>32</v>
      </c>
      <c r="C368" s="10" t="s">
        <v>33</v>
      </c>
      <c r="D368" s="10" t="s">
        <v>34</v>
      </c>
      <c r="E368" s="10" t="s">
        <v>14</v>
      </c>
      <c r="F368" s="10">
        <v>180.0</v>
      </c>
      <c r="G368" s="10" t="str">
        <f>IFERROR(VLOOKUP(C368&amp;D368&amp;E368&amp;F368,productID!$A$2:$B$7,2,FALSE))</f>
        <v/>
      </c>
      <c r="H368" s="10">
        <v>2022.0</v>
      </c>
      <c r="I368" s="10" t="s">
        <v>54</v>
      </c>
      <c r="J368" s="10">
        <v>12.864588071214671</v>
      </c>
      <c r="K368" s="11"/>
      <c r="L368" s="12"/>
      <c r="M368" s="9">
        <v>1.2377252037711914</v>
      </c>
    </row>
    <row r="369">
      <c r="A369" s="10" t="s">
        <v>25</v>
      </c>
      <c r="B369" s="10" t="s">
        <v>32</v>
      </c>
      <c r="C369" s="10" t="s">
        <v>33</v>
      </c>
      <c r="D369" s="10" t="s">
        <v>34</v>
      </c>
      <c r="E369" s="10" t="s">
        <v>14</v>
      </c>
      <c r="F369" s="10">
        <v>180.0</v>
      </c>
      <c r="G369" s="10" t="str">
        <f>IFERROR(VLOOKUP(C369&amp;D369&amp;E369&amp;F369,productID!$A$2:$B$7,2,FALSE))</f>
        <v/>
      </c>
      <c r="H369" s="10">
        <v>2023.0</v>
      </c>
      <c r="I369" s="10" t="s">
        <v>51</v>
      </c>
      <c r="J369" s="10">
        <v>17.384691918031187</v>
      </c>
      <c r="K369" s="11"/>
      <c r="L369" s="12"/>
      <c r="M369" s="9">
        <v>1.5831028676672065</v>
      </c>
    </row>
    <row r="370">
      <c r="A370" s="10" t="s">
        <v>25</v>
      </c>
      <c r="B370" s="10" t="s">
        <v>32</v>
      </c>
      <c r="C370" s="10" t="s">
        <v>33</v>
      </c>
      <c r="D370" s="10" t="s">
        <v>34</v>
      </c>
      <c r="E370" s="10" t="s">
        <v>14</v>
      </c>
      <c r="F370" s="10">
        <v>180.0</v>
      </c>
      <c r="G370" s="10" t="str">
        <f>IFERROR(VLOOKUP(C370&amp;D370&amp;E370&amp;F370,productID!$A$2:$B$7,2,FALSE))</f>
        <v/>
      </c>
      <c r="H370" s="10">
        <v>2023.0</v>
      </c>
      <c r="I370" s="10" t="s">
        <v>52</v>
      </c>
      <c r="J370" s="10">
        <v>14.471894115248464</v>
      </c>
      <c r="K370" s="11"/>
      <c r="L370" s="12"/>
      <c r="M370" s="9">
        <v>1.299371719724301</v>
      </c>
    </row>
    <row r="371">
      <c r="A371" s="10" t="s">
        <v>25</v>
      </c>
      <c r="B371" s="10" t="s">
        <v>32</v>
      </c>
      <c r="C371" s="10" t="s">
        <v>33</v>
      </c>
      <c r="D371" s="10" t="s">
        <v>34</v>
      </c>
      <c r="E371" s="10" t="s">
        <v>14</v>
      </c>
      <c r="F371" s="10">
        <v>180.0</v>
      </c>
      <c r="G371" s="10" t="str">
        <f>IFERROR(VLOOKUP(C371&amp;D371&amp;E371&amp;F371,productID!$A$2:$B$7,2,FALSE))</f>
        <v/>
      </c>
      <c r="H371" s="10">
        <v>2023.0</v>
      </c>
      <c r="I371" s="10" t="s">
        <v>53</v>
      </c>
      <c r="J371" s="10">
        <v>12.002599757099285</v>
      </c>
      <c r="K371" s="11"/>
      <c r="L371" s="12"/>
      <c r="M371" s="9">
        <v>1.143919658791117</v>
      </c>
    </row>
    <row r="372">
      <c r="A372" s="10" t="s">
        <v>25</v>
      </c>
      <c r="B372" s="10" t="s">
        <v>32</v>
      </c>
      <c r="C372" s="10" t="s">
        <v>33</v>
      </c>
      <c r="D372" s="10" t="s">
        <v>34</v>
      </c>
      <c r="E372" s="10" t="s">
        <v>14</v>
      </c>
      <c r="F372" s="10">
        <v>180.0</v>
      </c>
      <c r="G372" s="10" t="str">
        <f>IFERROR(VLOOKUP(C372&amp;D372&amp;E372&amp;F372,productID!$A$2:$B$7,2,FALSE))</f>
        <v/>
      </c>
      <c r="H372" s="10">
        <v>2023.0</v>
      </c>
      <c r="I372" s="10" t="s">
        <v>54</v>
      </c>
      <c r="J372" s="10">
        <v>9.1120764241611</v>
      </c>
      <c r="K372" s="11"/>
      <c r="L372" s="12"/>
      <c r="M372" s="9">
        <v>0.9274336275044504</v>
      </c>
    </row>
    <row r="373">
      <c r="A373" s="10" t="s">
        <v>26</v>
      </c>
      <c r="B373" s="10" t="s">
        <v>32</v>
      </c>
      <c r="C373" s="10" t="s">
        <v>33</v>
      </c>
      <c r="D373" s="10" t="s">
        <v>34</v>
      </c>
      <c r="E373" s="10" t="s">
        <v>14</v>
      </c>
      <c r="F373" s="10">
        <v>180.0</v>
      </c>
      <c r="G373" s="10" t="str">
        <f>IFERROR(VLOOKUP(C373&amp;D373&amp;E373&amp;F373,productID!$A$2:$B$7,2,FALSE))</f>
        <v/>
      </c>
      <c r="H373" s="10">
        <v>2022.0</v>
      </c>
      <c r="I373" s="10" t="s">
        <v>51</v>
      </c>
      <c r="J373" s="10">
        <v>72.96908232393882</v>
      </c>
      <c r="K373" s="11"/>
      <c r="L373" s="12"/>
      <c r="M373" s="9">
        <v>3.5323986647066827</v>
      </c>
    </row>
    <row r="374">
      <c r="A374" s="10" t="s">
        <v>26</v>
      </c>
      <c r="B374" s="10" t="s">
        <v>32</v>
      </c>
      <c r="C374" s="10" t="s">
        <v>33</v>
      </c>
      <c r="D374" s="10" t="s">
        <v>34</v>
      </c>
      <c r="E374" s="10" t="s">
        <v>14</v>
      </c>
      <c r="F374" s="10">
        <v>180.0</v>
      </c>
      <c r="G374" s="10" t="str">
        <f>IFERROR(VLOOKUP(C374&amp;D374&amp;E374&amp;F374,productID!$A$2:$B$7,2,FALSE))</f>
        <v/>
      </c>
      <c r="H374" s="10">
        <v>2022.0</v>
      </c>
      <c r="I374" s="10" t="s">
        <v>52</v>
      </c>
      <c r="J374" s="10">
        <v>77.63821543579756</v>
      </c>
      <c r="K374" s="11"/>
      <c r="L374" s="12"/>
      <c r="M374" s="9">
        <v>3.6971065298452648</v>
      </c>
    </row>
    <row r="375">
      <c r="A375" s="10" t="s">
        <v>26</v>
      </c>
      <c r="B375" s="10" t="s">
        <v>32</v>
      </c>
      <c r="C375" s="10" t="s">
        <v>33</v>
      </c>
      <c r="D375" s="10" t="s">
        <v>34</v>
      </c>
      <c r="E375" s="10" t="s">
        <v>14</v>
      </c>
      <c r="F375" s="10">
        <v>180.0</v>
      </c>
      <c r="G375" s="10" t="str">
        <f>IFERROR(VLOOKUP(C375&amp;D375&amp;E375&amp;F375,productID!$A$2:$B$7,2,FALSE))</f>
        <v/>
      </c>
      <c r="H375" s="10">
        <v>2022.0</v>
      </c>
      <c r="I375" s="10" t="s">
        <v>53</v>
      </c>
      <c r="J375" s="10">
        <v>77.2708351135356</v>
      </c>
      <c r="K375" s="11"/>
      <c r="L375" s="12"/>
      <c r="M375" s="9">
        <v>3.689249411048189</v>
      </c>
    </row>
    <row r="376">
      <c r="A376" s="10" t="s">
        <v>26</v>
      </c>
      <c r="B376" s="10" t="s">
        <v>32</v>
      </c>
      <c r="C376" s="10" t="s">
        <v>33</v>
      </c>
      <c r="D376" s="10" t="s">
        <v>34</v>
      </c>
      <c r="E376" s="10" t="s">
        <v>14</v>
      </c>
      <c r="F376" s="10">
        <v>180.0</v>
      </c>
      <c r="G376" s="10" t="str">
        <f>IFERROR(VLOOKUP(C376&amp;D376&amp;E376&amp;F376,productID!$A$2:$B$7,2,FALSE))</f>
        <v/>
      </c>
      <c r="H376" s="10">
        <v>2022.0</v>
      </c>
      <c r="I376" s="10" t="s">
        <v>54</v>
      </c>
      <c r="J376" s="10">
        <v>75.13178650313678</v>
      </c>
      <c r="K376" s="11"/>
      <c r="L376" s="12"/>
      <c r="M376" s="9">
        <v>3.519342160361726</v>
      </c>
    </row>
    <row r="377">
      <c r="A377" s="10" t="s">
        <v>26</v>
      </c>
      <c r="B377" s="10" t="s">
        <v>32</v>
      </c>
      <c r="C377" s="10" t="s">
        <v>33</v>
      </c>
      <c r="D377" s="10" t="s">
        <v>34</v>
      </c>
      <c r="E377" s="10" t="s">
        <v>14</v>
      </c>
      <c r="F377" s="10">
        <v>180.0</v>
      </c>
      <c r="G377" s="10" t="str">
        <f>IFERROR(VLOOKUP(C377&amp;D377&amp;E377&amp;F377,productID!$A$2:$B$7,2,FALSE))</f>
        <v/>
      </c>
      <c r="H377" s="10">
        <v>2023.0</v>
      </c>
      <c r="I377" s="10" t="s">
        <v>51</v>
      </c>
      <c r="J377" s="10">
        <v>82.34516702224322</v>
      </c>
      <c r="K377" s="11"/>
      <c r="L377" s="12"/>
      <c r="M377" s="9">
        <v>3.819113689001055</v>
      </c>
    </row>
    <row r="378">
      <c r="A378" s="10" t="s">
        <v>26</v>
      </c>
      <c r="B378" s="10" t="s">
        <v>32</v>
      </c>
      <c r="C378" s="10" t="s">
        <v>33</v>
      </c>
      <c r="D378" s="10" t="s">
        <v>34</v>
      </c>
      <c r="E378" s="10" t="s">
        <v>14</v>
      </c>
      <c r="F378" s="10">
        <v>180.0</v>
      </c>
      <c r="G378" s="10" t="str">
        <f>IFERROR(VLOOKUP(C378&amp;D378&amp;E378&amp;F378,productID!$A$2:$B$7,2,FALSE))</f>
        <v/>
      </c>
      <c r="H378" s="10">
        <v>2023.0</v>
      </c>
      <c r="I378" s="10" t="s">
        <v>52</v>
      </c>
      <c r="J378" s="10">
        <v>90.78257287303403</v>
      </c>
      <c r="K378" s="11"/>
      <c r="L378" s="12"/>
      <c r="M378" s="9">
        <v>4.074114135177216</v>
      </c>
    </row>
    <row r="379">
      <c r="A379" s="10" t="s">
        <v>26</v>
      </c>
      <c r="B379" s="10" t="s">
        <v>32</v>
      </c>
      <c r="C379" s="10" t="s">
        <v>33</v>
      </c>
      <c r="D379" s="10" t="s">
        <v>34</v>
      </c>
      <c r="E379" s="10" t="s">
        <v>14</v>
      </c>
      <c r="F379" s="10">
        <v>180.0</v>
      </c>
      <c r="G379" s="10" t="str">
        <f>IFERROR(VLOOKUP(C379&amp;D379&amp;E379&amp;F379,productID!$A$2:$B$7,2,FALSE))</f>
        <v/>
      </c>
      <c r="H379" s="10">
        <v>2023.0</v>
      </c>
      <c r="I379" s="10" t="s">
        <v>53</v>
      </c>
      <c r="J379" s="10">
        <v>90.7826364630361</v>
      </c>
      <c r="K379" s="11"/>
      <c r="L379" s="12"/>
      <c r="M379" s="9">
        <v>4.165716943792285</v>
      </c>
    </row>
    <row r="380">
      <c r="A380" s="10" t="s">
        <v>26</v>
      </c>
      <c r="B380" s="10" t="s">
        <v>32</v>
      </c>
      <c r="C380" s="10" t="s">
        <v>33</v>
      </c>
      <c r="D380" s="10" t="s">
        <v>34</v>
      </c>
      <c r="E380" s="10" t="s">
        <v>14</v>
      </c>
      <c r="F380" s="10">
        <v>180.0</v>
      </c>
      <c r="G380" s="10" t="str">
        <f>IFERROR(VLOOKUP(C380&amp;D380&amp;E380&amp;F380,productID!$A$2:$B$7,2,FALSE))</f>
        <v/>
      </c>
      <c r="H380" s="10">
        <v>2023.0</v>
      </c>
      <c r="I380" s="10" t="s">
        <v>54</v>
      </c>
      <c r="J380" s="10">
        <v>73.87681994723083</v>
      </c>
      <c r="K380" s="11"/>
      <c r="L380" s="12"/>
      <c r="M380" s="9">
        <v>3.513293793318045</v>
      </c>
    </row>
    <row r="381">
      <c r="A381" s="10" t="s">
        <v>10</v>
      </c>
      <c r="B381" s="10" t="s">
        <v>32</v>
      </c>
      <c r="C381" s="10" t="s">
        <v>35</v>
      </c>
      <c r="D381" s="10" t="s">
        <v>30</v>
      </c>
      <c r="E381" s="10" t="s">
        <v>29</v>
      </c>
      <c r="F381" s="10">
        <v>220.0</v>
      </c>
      <c r="G381" s="10" t="str">
        <f>IFERROR(VLOOKUP(C381&amp;D381&amp;E381&amp;F381,productID!$A$2:$B$7,2,FALSE))</f>
        <v/>
      </c>
      <c r="H381" s="10">
        <v>2022.0</v>
      </c>
      <c r="I381" s="10" t="s">
        <v>51</v>
      </c>
      <c r="J381" s="10">
        <v>21.211445961629607</v>
      </c>
      <c r="K381" s="11"/>
      <c r="L381" s="12"/>
      <c r="M381" s="9">
        <v>1.8589290871433275</v>
      </c>
    </row>
    <row r="382">
      <c r="A382" s="10" t="s">
        <v>10</v>
      </c>
      <c r="B382" s="10" t="s">
        <v>32</v>
      </c>
      <c r="C382" s="10" t="s">
        <v>35</v>
      </c>
      <c r="D382" s="10" t="s">
        <v>30</v>
      </c>
      <c r="E382" s="10" t="s">
        <v>29</v>
      </c>
      <c r="F382" s="10">
        <v>220.0</v>
      </c>
      <c r="G382" s="10" t="str">
        <f>IFERROR(VLOOKUP(C382&amp;D382&amp;E382&amp;F382,productID!$A$2:$B$7,2,FALSE))</f>
        <v/>
      </c>
      <c r="H382" s="10">
        <v>2022.0</v>
      </c>
      <c r="I382" s="10" t="s">
        <v>52</v>
      </c>
      <c r="J382" s="10">
        <v>17.07617767984074</v>
      </c>
      <c r="K382" s="11"/>
      <c r="L382" s="12"/>
      <c r="M382" s="9">
        <v>1.4903401148439162</v>
      </c>
    </row>
    <row r="383">
      <c r="A383" s="10" t="s">
        <v>10</v>
      </c>
      <c r="B383" s="10" t="s">
        <v>32</v>
      </c>
      <c r="C383" s="10" t="s">
        <v>35</v>
      </c>
      <c r="D383" s="10" t="s">
        <v>30</v>
      </c>
      <c r="E383" s="10" t="s">
        <v>29</v>
      </c>
      <c r="F383" s="10">
        <v>220.0</v>
      </c>
      <c r="G383" s="10" t="str">
        <f>IFERROR(VLOOKUP(C383&amp;D383&amp;E383&amp;F383,productID!$A$2:$B$7,2,FALSE))</f>
        <v/>
      </c>
      <c r="H383" s="10">
        <v>2022.0</v>
      </c>
      <c r="I383" s="10" t="s">
        <v>53</v>
      </c>
      <c r="J383" s="10">
        <v>18.671848190120883</v>
      </c>
      <c r="K383" s="11"/>
      <c r="L383" s="12"/>
      <c r="M383" s="9">
        <v>1.6321319975490325</v>
      </c>
    </row>
    <row r="384">
      <c r="A384" s="10" t="s">
        <v>10</v>
      </c>
      <c r="B384" s="10" t="s">
        <v>32</v>
      </c>
      <c r="C384" s="10" t="s">
        <v>35</v>
      </c>
      <c r="D384" s="10" t="s">
        <v>30</v>
      </c>
      <c r="E384" s="10" t="s">
        <v>29</v>
      </c>
      <c r="F384" s="10">
        <v>220.0</v>
      </c>
      <c r="G384" s="10" t="str">
        <f>IFERROR(VLOOKUP(C384&amp;D384&amp;E384&amp;F384,productID!$A$2:$B$7,2,FALSE))</f>
        <v/>
      </c>
      <c r="H384" s="10">
        <v>2022.0</v>
      </c>
      <c r="I384" s="10" t="s">
        <v>54</v>
      </c>
      <c r="J384" s="10">
        <v>13.83879647689993</v>
      </c>
      <c r="K384" s="11"/>
      <c r="L384" s="12"/>
      <c r="M384" s="9">
        <v>1.2532206805983162</v>
      </c>
    </row>
    <row r="385">
      <c r="A385" s="10" t="s">
        <v>10</v>
      </c>
      <c r="B385" s="10" t="s">
        <v>32</v>
      </c>
      <c r="C385" s="10" t="s">
        <v>35</v>
      </c>
      <c r="D385" s="10" t="s">
        <v>30</v>
      </c>
      <c r="E385" s="10" t="s">
        <v>29</v>
      </c>
      <c r="F385" s="10">
        <v>220.0</v>
      </c>
      <c r="G385" s="10" t="str">
        <f>IFERROR(VLOOKUP(C385&amp;D385&amp;E385&amp;F385,productID!$A$2:$B$7,2,FALSE))</f>
        <v/>
      </c>
      <c r="H385" s="10">
        <v>2023.0</v>
      </c>
      <c r="I385" s="10" t="s">
        <v>51</v>
      </c>
      <c r="J385" s="10">
        <v>18.318748668389333</v>
      </c>
      <c r="K385" s="11"/>
      <c r="L385" s="12"/>
      <c r="M385" s="9">
        <v>1.5532898330022</v>
      </c>
    </row>
    <row r="386">
      <c r="A386" s="10" t="s">
        <v>10</v>
      </c>
      <c r="B386" s="10" t="s">
        <v>32</v>
      </c>
      <c r="C386" s="10" t="s">
        <v>35</v>
      </c>
      <c r="D386" s="10" t="s">
        <v>30</v>
      </c>
      <c r="E386" s="10" t="s">
        <v>29</v>
      </c>
      <c r="F386" s="10">
        <v>220.0</v>
      </c>
      <c r="G386" s="10" t="str">
        <f>IFERROR(VLOOKUP(C386&amp;D386&amp;E386&amp;F386,productID!$A$2:$B$7,2,FALSE))</f>
        <v/>
      </c>
      <c r="H386" s="10">
        <v>2023.0</v>
      </c>
      <c r="I386" s="10" t="s">
        <v>52</v>
      </c>
      <c r="J386" s="10">
        <v>17.92556258412013</v>
      </c>
      <c r="K386" s="11"/>
      <c r="L386" s="12"/>
      <c r="M386" s="9">
        <v>1.4166212731985774</v>
      </c>
    </row>
    <row r="387">
      <c r="A387" s="10" t="s">
        <v>10</v>
      </c>
      <c r="B387" s="10" t="s">
        <v>32</v>
      </c>
      <c r="C387" s="10" t="s">
        <v>35</v>
      </c>
      <c r="D387" s="10" t="s">
        <v>30</v>
      </c>
      <c r="E387" s="10" t="s">
        <v>29</v>
      </c>
      <c r="F387" s="10">
        <v>220.0</v>
      </c>
      <c r="G387" s="10" t="str">
        <f>IFERROR(VLOOKUP(C387&amp;D387&amp;E387&amp;F387,productID!$A$2:$B$7,2,FALSE))</f>
        <v/>
      </c>
      <c r="H387" s="10">
        <v>2023.0</v>
      </c>
      <c r="I387" s="10" t="s">
        <v>53</v>
      </c>
      <c r="J387" s="10">
        <v>19.829734702088786</v>
      </c>
      <c r="K387" s="11"/>
      <c r="L387" s="12"/>
      <c r="M387" s="9">
        <v>1.6062890896663333</v>
      </c>
    </row>
    <row r="388">
      <c r="A388" s="10" t="s">
        <v>10</v>
      </c>
      <c r="B388" s="10" t="s">
        <v>32</v>
      </c>
      <c r="C388" s="10" t="s">
        <v>35</v>
      </c>
      <c r="D388" s="10" t="s">
        <v>30</v>
      </c>
      <c r="E388" s="10" t="s">
        <v>29</v>
      </c>
      <c r="F388" s="10">
        <v>220.0</v>
      </c>
      <c r="G388" s="10" t="str">
        <f>IFERROR(VLOOKUP(C388&amp;D388&amp;E388&amp;F388,productID!$A$2:$B$7,2,FALSE))</f>
        <v/>
      </c>
      <c r="H388" s="10">
        <v>2023.0</v>
      </c>
      <c r="I388" s="10" t="s">
        <v>54</v>
      </c>
      <c r="J388" s="10">
        <v>19.310683714361133</v>
      </c>
      <c r="K388" s="11"/>
      <c r="L388" s="12"/>
      <c r="M388" s="9">
        <v>1.661600715094325</v>
      </c>
    </row>
    <row r="389">
      <c r="A389" s="10" t="s">
        <v>24</v>
      </c>
      <c r="B389" s="10" t="s">
        <v>32</v>
      </c>
      <c r="C389" s="10" t="s">
        <v>35</v>
      </c>
      <c r="D389" s="10" t="s">
        <v>30</v>
      </c>
      <c r="E389" s="10" t="s">
        <v>29</v>
      </c>
      <c r="F389" s="10">
        <v>220.0</v>
      </c>
      <c r="G389" s="10" t="str">
        <f>IFERROR(VLOOKUP(C389&amp;D389&amp;E389&amp;F389,productID!$A$2:$B$7,2,FALSE))</f>
        <v/>
      </c>
      <c r="H389" s="10">
        <v>2022.0</v>
      </c>
      <c r="I389" s="10" t="s">
        <v>51</v>
      </c>
      <c r="J389" s="10">
        <v>0.7800333147482214</v>
      </c>
      <c r="K389" s="11"/>
      <c r="L389" s="12"/>
      <c r="M389" s="9">
        <v>0.08711739168650147</v>
      </c>
    </row>
    <row r="390">
      <c r="A390" s="10" t="s">
        <v>24</v>
      </c>
      <c r="B390" s="10" t="s">
        <v>32</v>
      </c>
      <c r="C390" s="10" t="s">
        <v>35</v>
      </c>
      <c r="D390" s="10" t="s">
        <v>30</v>
      </c>
      <c r="E390" s="10" t="s">
        <v>29</v>
      </c>
      <c r="F390" s="10">
        <v>220.0</v>
      </c>
      <c r="G390" s="10" t="str">
        <f>IFERROR(VLOOKUP(C390&amp;D390&amp;E390&amp;F390,productID!$A$2:$B$7,2,FALSE))</f>
        <v/>
      </c>
      <c r="H390" s="10">
        <v>2022.0</v>
      </c>
      <c r="I390" s="10" t="s">
        <v>52</v>
      </c>
      <c r="J390" s="10">
        <v>0.5591462095111892</v>
      </c>
      <c r="K390" s="11"/>
      <c r="L390" s="12"/>
      <c r="M390" s="9">
        <v>0.05969364839650745</v>
      </c>
    </row>
    <row r="391">
      <c r="A391" s="10" t="s">
        <v>24</v>
      </c>
      <c r="B391" s="10" t="s">
        <v>32</v>
      </c>
      <c r="C391" s="10" t="s">
        <v>35</v>
      </c>
      <c r="D391" s="10" t="s">
        <v>30</v>
      </c>
      <c r="E391" s="10" t="s">
        <v>29</v>
      </c>
      <c r="F391" s="10">
        <v>220.0</v>
      </c>
      <c r="G391" s="10" t="str">
        <f>IFERROR(VLOOKUP(C391&amp;D391&amp;E391&amp;F391,productID!$A$2:$B$7,2,FALSE))</f>
        <v/>
      </c>
      <c r="H391" s="10">
        <v>2022.0</v>
      </c>
      <c r="I391" s="10" t="s">
        <v>53</v>
      </c>
      <c r="J391" s="10">
        <v>0.5892830860543145</v>
      </c>
      <c r="K391" s="11"/>
      <c r="L391" s="12"/>
      <c r="M391" s="9">
        <v>0.06123194371117571</v>
      </c>
    </row>
    <row r="392">
      <c r="A392" s="10" t="s">
        <v>24</v>
      </c>
      <c r="B392" s="10" t="s">
        <v>32</v>
      </c>
      <c r="C392" s="10" t="s">
        <v>35</v>
      </c>
      <c r="D392" s="10" t="s">
        <v>30</v>
      </c>
      <c r="E392" s="10" t="s">
        <v>29</v>
      </c>
      <c r="F392" s="10">
        <v>220.0</v>
      </c>
      <c r="G392" s="10" t="str">
        <f>IFERROR(VLOOKUP(C392&amp;D392&amp;E392&amp;F392,productID!$A$2:$B$7,2,FALSE))</f>
        <v/>
      </c>
      <c r="H392" s="10">
        <v>2022.0</v>
      </c>
      <c r="I392" s="10" t="s">
        <v>54</v>
      </c>
      <c r="J392" s="10">
        <v>0.82424713641138</v>
      </c>
      <c r="K392" s="11"/>
      <c r="L392" s="12"/>
      <c r="M392" s="9">
        <v>0.08848554397037589</v>
      </c>
    </row>
    <row r="393">
      <c r="A393" s="10" t="s">
        <v>24</v>
      </c>
      <c r="B393" s="10" t="s">
        <v>32</v>
      </c>
      <c r="C393" s="10" t="s">
        <v>35</v>
      </c>
      <c r="D393" s="10" t="s">
        <v>30</v>
      </c>
      <c r="E393" s="10" t="s">
        <v>29</v>
      </c>
      <c r="F393" s="10">
        <v>220.0</v>
      </c>
      <c r="G393" s="10" t="str">
        <f>IFERROR(VLOOKUP(C393&amp;D393&amp;E393&amp;F393,productID!$A$2:$B$7,2,FALSE))</f>
        <v/>
      </c>
      <c r="H393" s="10">
        <v>2023.0</v>
      </c>
      <c r="I393" s="10" t="s">
        <v>51</v>
      </c>
      <c r="J393" s="10">
        <v>0.30488994395647373</v>
      </c>
      <c r="K393" s="11"/>
      <c r="L393" s="12"/>
      <c r="M393" s="9">
        <v>0.031883518597100334</v>
      </c>
    </row>
    <row r="394">
      <c r="A394" s="10" t="s">
        <v>24</v>
      </c>
      <c r="B394" s="10" t="s">
        <v>32</v>
      </c>
      <c r="C394" s="10" t="s">
        <v>35</v>
      </c>
      <c r="D394" s="10" t="s">
        <v>30</v>
      </c>
      <c r="E394" s="10" t="s">
        <v>29</v>
      </c>
      <c r="F394" s="10">
        <v>220.0</v>
      </c>
      <c r="G394" s="10" t="str">
        <f>IFERROR(VLOOKUP(C394&amp;D394&amp;E394&amp;F394,productID!$A$2:$B$7,2,FALSE))</f>
        <v/>
      </c>
      <c r="H394" s="10">
        <v>2023.0</v>
      </c>
      <c r="I394" s="10" t="s">
        <v>52</v>
      </c>
      <c r="J394" s="10">
        <v>0.2482624435056701</v>
      </c>
      <c r="K394" s="11"/>
      <c r="L394" s="12"/>
      <c r="M394" s="9">
        <v>0.025621392705111337</v>
      </c>
    </row>
    <row r="395">
      <c r="A395" s="10" t="s">
        <v>24</v>
      </c>
      <c r="B395" s="10" t="s">
        <v>32</v>
      </c>
      <c r="C395" s="10" t="s">
        <v>35</v>
      </c>
      <c r="D395" s="10" t="s">
        <v>30</v>
      </c>
      <c r="E395" s="10" t="s">
        <v>29</v>
      </c>
      <c r="F395" s="10">
        <v>220.0</v>
      </c>
      <c r="G395" s="10" t="str">
        <f>IFERROR(VLOOKUP(C395&amp;D395&amp;E395&amp;F395,productID!$A$2:$B$7,2,FALSE))</f>
        <v/>
      </c>
      <c r="H395" s="10">
        <v>2023.0</v>
      </c>
      <c r="I395" s="10" t="s">
        <v>53</v>
      </c>
      <c r="J395" s="10">
        <v>0.24828805513875515</v>
      </c>
      <c r="K395" s="11"/>
      <c r="L395" s="12"/>
      <c r="M395" s="9">
        <v>0.027273794155852907</v>
      </c>
    </row>
    <row r="396">
      <c r="A396" s="10" t="s">
        <v>24</v>
      </c>
      <c r="B396" s="10" t="s">
        <v>32</v>
      </c>
      <c r="C396" s="10" t="s">
        <v>35</v>
      </c>
      <c r="D396" s="10" t="s">
        <v>30</v>
      </c>
      <c r="E396" s="10" t="s">
        <v>29</v>
      </c>
      <c r="F396" s="10">
        <v>220.0</v>
      </c>
      <c r="G396" s="10" t="str">
        <f>IFERROR(VLOOKUP(C396&amp;D396&amp;E396&amp;F396,productID!$A$2:$B$7,2,FALSE))</f>
        <v/>
      </c>
      <c r="H396" s="10">
        <v>2023.0</v>
      </c>
      <c r="I396" s="10" t="s">
        <v>54</v>
      </c>
      <c r="J396" s="10">
        <v>0.37216555646205096</v>
      </c>
      <c r="K396" s="11"/>
      <c r="L396" s="12"/>
      <c r="M396" s="9">
        <v>0.04719631449938813</v>
      </c>
    </row>
    <row r="397">
      <c r="A397" s="10" t="s">
        <v>25</v>
      </c>
      <c r="B397" s="10" t="s">
        <v>32</v>
      </c>
      <c r="C397" s="10" t="s">
        <v>35</v>
      </c>
      <c r="D397" s="10" t="s">
        <v>30</v>
      </c>
      <c r="E397" s="10" t="s">
        <v>29</v>
      </c>
      <c r="F397" s="10">
        <v>220.0</v>
      </c>
      <c r="G397" s="10" t="str">
        <f>IFERROR(VLOOKUP(C397&amp;D397&amp;E397&amp;F397,productID!$A$2:$B$7,2,FALSE))</f>
        <v/>
      </c>
      <c r="H397" s="10">
        <v>2022.0</v>
      </c>
      <c r="I397" s="10" t="s">
        <v>51</v>
      </c>
      <c r="J397" s="10">
        <v>25.291547643626355</v>
      </c>
      <c r="K397" s="11"/>
      <c r="L397" s="12"/>
      <c r="M397" s="9">
        <v>2.588050847881387</v>
      </c>
    </row>
    <row r="398">
      <c r="A398" s="10" t="s">
        <v>25</v>
      </c>
      <c r="B398" s="10" t="s">
        <v>32</v>
      </c>
      <c r="C398" s="10" t="s">
        <v>35</v>
      </c>
      <c r="D398" s="10" t="s">
        <v>30</v>
      </c>
      <c r="E398" s="10" t="s">
        <v>29</v>
      </c>
      <c r="F398" s="10">
        <v>220.0</v>
      </c>
      <c r="G398" s="10" t="str">
        <f>IFERROR(VLOOKUP(C398&amp;D398&amp;E398&amp;F398,productID!$A$2:$B$7,2,FALSE))</f>
        <v/>
      </c>
      <c r="H398" s="10">
        <v>2022.0</v>
      </c>
      <c r="I398" s="10" t="s">
        <v>52</v>
      </c>
      <c r="J398" s="10">
        <v>26.94911387836777</v>
      </c>
      <c r="K398" s="11"/>
      <c r="L398" s="12"/>
      <c r="M398" s="9">
        <v>2.733373375934343</v>
      </c>
    </row>
    <row r="399">
      <c r="A399" s="10" t="s">
        <v>25</v>
      </c>
      <c r="B399" s="10" t="s">
        <v>32</v>
      </c>
      <c r="C399" s="10" t="s">
        <v>35</v>
      </c>
      <c r="D399" s="10" t="s">
        <v>30</v>
      </c>
      <c r="E399" s="10" t="s">
        <v>29</v>
      </c>
      <c r="F399" s="10">
        <v>220.0</v>
      </c>
      <c r="G399" s="10" t="str">
        <f>IFERROR(VLOOKUP(C399&amp;D399&amp;E399&amp;F399,productID!$A$2:$B$7,2,FALSE))</f>
        <v/>
      </c>
      <c r="H399" s="10">
        <v>2022.0</v>
      </c>
      <c r="I399" s="10" t="s">
        <v>53</v>
      </c>
      <c r="J399" s="10">
        <v>29.556312830748077</v>
      </c>
      <c r="K399" s="11"/>
      <c r="L399" s="12"/>
      <c r="M399" s="9">
        <v>2.8827576888085007</v>
      </c>
    </row>
    <row r="400">
      <c r="A400" s="10" t="s">
        <v>25</v>
      </c>
      <c r="B400" s="10" t="s">
        <v>32</v>
      </c>
      <c r="C400" s="10" t="s">
        <v>35</v>
      </c>
      <c r="D400" s="10" t="s">
        <v>30</v>
      </c>
      <c r="E400" s="10" t="s">
        <v>29</v>
      </c>
      <c r="F400" s="10">
        <v>220.0</v>
      </c>
      <c r="G400" s="10" t="str">
        <f>IFERROR(VLOOKUP(C400&amp;D400&amp;E400&amp;F400,productID!$A$2:$B$7,2,FALSE))</f>
        <v/>
      </c>
      <c r="H400" s="10">
        <v>2022.0</v>
      </c>
      <c r="I400" s="10" t="s">
        <v>54</v>
      </c>
      <c r="J400" s="10">
        <v>26.854429460511312</v>
      </c>
      <c r="K400" s="11"/>
      <c r="L400" s="12"/>
      <c r="M400" s="9">
        <v>2.5837130572834646</v>
      </c>
    </row>
    <row r="401">
      <c r="A401" s="10" t="s">
        <v>25</v>
      </c>
      <c r="B401" s="10" t="s">
        <v>32</v>
      </c>
      <c r="C401" s="10" t="s">
        <v>35</v>
      </c>
      <c r="D401" s="10" t="s">
        <v>30</v>
      </c>
      <c r="E401" s="10" t="s">
        <v>29</v>
      </c>
      <c r="F401" s="10">
        <v>220.0</v>
      </c>
      <c r="G401" s="10" t="str">
        <f>IFERROR(VLOOKUP(C401&amp;D401&amp;E401&amp;F401,productID!$A$2:$B$7,2,FALSE))</f>
        <v/>
      </c>
      <c r="H401" s="10">
        <v>2023.0</v>
      </c>
      <c r="I401" s="10" t="s">
        <v>51</v>
      </c>
      <c r="J401" s="10">
        <v>34.90878218186287</v>
      </c>
      <c r="K401" s="11"/>
      <c r="L401" s="12"/>
      <c r="M401" s="9">
        <v>3.1788997722506465</v>
      </c>
    </row>
    <row r="402">
      <c r="A402" s="10" t="s">
        <v>25</v>
      </c>
      <c r="B402" s="10" t="s">
        <v>32</v>
      </c>
      <c r="C402" s="10" t="s">
        <v>35</v>
      </c>
      <c r="D402" s="10" t="s">
        <v>30</v>
      </c>
      <c r="E402" s="10" t="s">
        <v>29</v>
      </c>
      <c r="F402" s="10">
        <v>220.0</v>
      </c>
      <c r="G402" s="10" t="str">
        <f>IFERROR(VLOOKUP(C402&amp;D402&amp;E402&amp;F402,productID!$A$2:$B$7,2,FALSE))</f>
        <v/>
      </c>
      <c r="H402" s="10">
        <v>2023.0</v>
      </c>
      <c r="I402" s="10" t="s">
        <v>52</v>
      </c>
      <c r="J402" s="10">
        <v>37.303536111287734</v>
      </c>
      <c r="K402" s="11"/>
      <c r="L402" s="12"/>
      <c r="M402" s="9">
        <v>3.349330742936363</v>
      </c>
    </row>
    <row r="403">
      <c r="A403" s="10" t="s">
        <v>25</v>
      </c>
      <c r="B403" s="10" t="s">
        <v>32</v>
      </c>
      <c r="C403" s="10" t="s">
        <v>35</v>
      </c>
      <c r="D403" s="10" t="s">
        <v>30</v>
      </c>
      <c r="E403" s="10" t="s">
        <v>29</v>
      </c>
      <c r="F403" s="10">
        <v>220.0</v>
      </c>
      <c r="G403" s="10" t="str">
        <f>IFERROR(VLOOKUP(C403&amp;D403&amp;E403&amp;F403,productID!$A$2:$B$7,2,FALSE))</f>
        <v/>
      </c>
      <c r="H403" s="10">
        <v>2023.0</v>
      </c>
      <c r="I403" s="10" t="s">
        <v>53</v>
      </c>
      <c r="J403" s="10">
        <v>27.392063260451653</v>
      </c>
      <c r="K403" s="11"/>
      <c r="L403" s="12"/>
      <c r="M403" s="9">
        <v>2.61062772171062</v>
      </c>
    </row>
    <row r="404">
      <c r="A404" s="10" t="s">
        <v>25</v>
      </c>
      <c r="B404" s="10" t="s">
        <v>32</v>
      </c>
      <c r="C404" s="10" t="s">
        <v>35</v>
      </c>
      <c r="D404" s="10" t="s">
        <v>30</v>
      </c>
      <c r="E404" s="10" t="s">
        <v>29</v>
      </c>
      <c r="F404" s="10">
        <v>220.0</v>
      </c>
      <c r="G404" s="10" t="str">
        <f>IFERROR(VLOOKUP(C404&amp;D404&amp;E404&amp;F404,productID!$A$2:$B$7,2,FALSE))</f>
        <v/>
      </c>
      <c r="H404" s="10">
        <v>2023.0</v>
      </c>
      <c r="I404" s="10" t="s">
        <v>54</v>
      </c>
      <c r="J404" s="10">
        <v>15.459327384454205</v>
      </c>
      <c r="K404" s="11"/>
      <c r="L404" s="12"/>
      <c r="M404" s="9">
        <v>1.5734613503599129</v>
      </c>
    </row>
    <row r="405">
      <c r="A405" s="10" t="s">
        <v>26</v>
      </c>
      <c r="B405" s="10" t="s">
        <v>32</v>
      </c>
      <c r="C405" s="10" t="s">
        <v>35</v>
      </c>
      <c r="D405" s="10" t="s">
        <v>30</v>
      </c>
      <c r="E405" s="10" t="s">
        <v>29</v>
      </c>
      <c r="F405" s="10">
        <v>220.0</v>
      </c>
      <c r="G405" s="10" t="str">
        <f>IFERROR(VLOOKUP(C405&amp;D405&amp;E405&amp;F405,productID!$A$2:$B$7,2,FALSE))</f>
        <v/>
      </c>
      <c r="H405" s="10">
        <v>2022.0</v>
      </c>
      <c r="I405" s="10" t="s">
        <v>51</v>
      </c>
      <c r="J405" s="10">
        <v>40.63513641453153</v>
      </c>
      <c r="K405" s="11"/>
      <c r="L405" s="12"/>
      <c r="M405" s="9">
        <v>1.9671276798252175</v>
      </c>
    </row>
    <row r="406">
      <c r="A406" s="10" t="s">
        <v>26</v>
      </c>
      <c r="B406" s="10" t="s">
        <v>32</v>
      </c>
      <c r="C406" s="10" t="s">
        <v>35</v>
      </c>
      <c r="D406" s="10" t="s">
        <v>30</v>
      </c>
      <c r="E406" s="10" t="s">
        <v>29</v>
      </c>
      <c r="F406" s="10">
        <v>220.0</v>
      </c>
      <c r="G406" s="10" t="str">
        <f>IFERROR(VLOOKUP(C406&amp;D406&amp;E406&amp;F406,productID!$A$2:$B$7,2,FALSE))</f>
        <v/>
      </c>
      <c r="H406" s="10">
        <v>2022.0</v>
      </c>
      <c r="I406" s="10" t="s">
        <v>52</v>
      </c>
      <c r="J406" s="10">
        <v>35.25746084133415</v>
      </c>
      <c r="K406" s="11"/>
      <c r="L406" s="12"/>
      <c r="M406" s="9">
        <v>1.6789488008009772</v>
      </c>
    </row>
    <row r="407">
      <c r="A407" s="10" t="s">
        <v>26</v>
      </c>
      <c r="B407" s="10" t="s">
        <v>32</v>
      </c>
      <c r="C407" s="10" t="s">
        <v>35</v>
      </c>
      <c r="D407" s="10" t="s">
        <v>30</v>
      </c>
      <c r="E407" s="10" t="s">
        <v>29</v>
      </c>
      <c r="F407" s="10">
        <v>220.0</v>
      </c>
      <c r="G407" s="10" t="str">
        <f>IFERROR(VLOOKUP(C407&amp;D407&amp;E407&amp;F407,productID!$A$2:$B$7,2,FALSE))</f>
        <v/>
      </c>
      <c r="H407" s="10">
        <v>2022.0</v>
      </c>
      <c r="I407" s="10" t="s">
        <v>53</v>
      </c>
      <c r="J407" s="10">
        <v>44.12627041169328</v>
      </c>
      <c r="K407" s="11"/>
      <c r="L407" s="12"/>
      <c r="M407" s="9">
        <v>2.1067821628807013</v>
      </c>
    </row>
    <row r="408">
      <c r="A408" s="10" t="s">
        <v>26</v>
      </c>
      <c r="B408" s="10" t="s">
        <v>32</v>
      </c>
      <c r="C408" s="10" t="s">
        <v>35</v>
      </c>
      <c r="D408" s="10" t="s">
        <v>30</v>
      </c>
      <c r="E408" s="10" t="s">
        <v>29</v>
      </c>
      <c r="F408" s="10">
        <v>220.0</v>
      </c>
      <c r="G408" s="10" t="str">
        <f>IFERROR(VLOOKUP(C408&amp;D408&amp;E408&amp;F408,productID!$A$2:$B$7,2,FALSE))</f>
        <v/>
      </c>
      <c r="H408" s="10">
        <v>2022.0</v>
      </c>
      <c r="I408" s="10" t="s">
        <v>54</v>
      </c>
      <c r="J408" s="10">
        <v>44.94688396461187</v>
      </c>
      <c r="K408" s="11"/>
      <c r="L408" s="12"/>
      <c r="M408" s="9">
        <v>2.105413315400676</v>
      </c>
    </row>
    <row r="409">
      <c r="A409" s="10" t="s">
        <v>26</v>
      </c>
      <c r="B409" s="10" t="s">
        <v>32</v>
      </c>
      <c r="C409" s="10" t="s">
        <v>35</v>
      </c>
      <c r="D409" s="10" t="s">
        <v>30</v>
      </c>
      <c r="E409" s="10" t="s">
        <v>29</v>
      </c>
      <c r="F409" s="10">
        <v>220.0</v>
      </c>
      <c r="G409" s="10" t="str">
        <f>IFERROR(VLOOKUP(C409&amp;D409&amp;E409&amp;F409,productID!$A$2:$B$7,2,FALSE))</f>
        <v/>
      </c>
      <c r="H409" s="10">
        <v>2023.0</v>
      </c>
      <c r="I409" s="10" t="s">
        <v>51</v>
      </c>
      <c r="J409" s="10">
        <v>56.730422378588855</v>
      </c>
      <c r="K409" s="11"/>
      <c r="L409" s="12"/>
      <c r="M409" s="9">
        <v>2.631118990023494</v>
      </c>
    </row>
    <row r="410">
      <c r="A410" s="10" t="s">
        <v>26</v>
      </c>
      <c r="B410" s="10" t="s">
        <v>32</v>
      </c>
      <c r="C410" s="10" t="s">
        <v>35</v>
      </c>
      <c r="D410" s="10" t="s">
        <v>30</v>
      </c>
      <c r="E410" s="10" t="s">
        <v>29</v>
      </c>
      <c r="F410" s="10">
        <v>220.0</v>
      </c>
      <c r="G410" s="10" t="str">
        <f>IFERROR(VLOOKUP(C410&amp;D410&amp;E410&amp;F410,productID!$A$2:$B$7,2,FALSE))</f>
        <v/>
      </c>
      <c r="H410" s="10">
        <v>2023.0</v>
      </c>
      <c r="I410" s="10" t="s">
        <v>52</v>
      </c>
      <c r="J410" s="10">
        <v>61.64216740670291</v>
      </c>
      <c r="K410" s="11"/>
      <c r="L410" s="12"/>
      <c r="M410" s="9">
        <v>2.766359419068703</v>
      </c>
    </row>
    <row r="411">
      <c r="A411" s="10" t="s">
        <v>26</v>
      </c>
      <c r="B411" s="10" t="s">
        <v>32</v>
      </c>
      <c r="C411" s="10" t="s">
        <v>35</v>
      </c>
      <c r="D411" s="10" t="s">
        <v>30</v>
      </c>
      <c r="E411" s="10" t="s">
        <v>29</v>
      </c>
      <c r="F411" s="10">
        <v>220.0</v>
      </c>
      <c r="G411" s="10" t="str">
        <f>IFERROR(VLOOKUP(C411&amp;D411&amp;E411&amp;F411,productID!$A$2:$B$7,2,FALSE))</f>
        <v/>
      </c>
      <c r="H411" s="10">
        <v>2023.0</v>
      </c>
      <c r="I411" s="10" t="s">
        <v>53</v>
      </c>
      <c r="J411" s="10">
        <v>65.83845934534433</v>
      </c>
      <c r="K411" s="11"/>
      <c r="L411" s="12"/>
      <c r="M411" s="9">
        <v>3.0211106036753232</v>
      </c>
    </row>
    <row r="412">
      <c r="A412" s="10" t="s">
        <v>26</v>
      </c>
      <c r="B412" s="10" t="s">
        <v>32</v>
      </c>
      <c r="C412" s="10" t="s">
        <v>35</v>
      </c>
      <c r="D412" s="10" t="s">
        <v>30</v>
      </c>
      <c r="E412" s="10" t="s">
        <v>29</v>
      </c>
      <c r="F412" s="10">
        <v>220.0</v>
      </c>
      <c r="G412" s="10" t="str">
        <f>IFERROR(VLOOKUP(C412&amp;D412&amp;E412&amp;F412,productID!$A$2:$B$7,2,FALSE))</f>
        <v/>
      </c>
      <c r="H412" s="10">
        <v>2023.0</v>
      </c>
      <c r="I412" s="10" t="s">
        <v>54</v>
      </c>
      <c r="J412" s="10">
        <v>61.75596620900054</v>
      </c>
      <c r="K412" s="11"/>
      <c r="L412" s="12"/>
      <c r="M412" s="9">
        <v>2.936873202412027</v>
      </c>
    </row>
    <row r="413">
      <c r="A413" s="10" t="s">
        <v>10</v>
      </c>
      <c r="B413" s="10" t="s">
        <v>36</v>
      </c>
      <c r="C413" s="10" t="s">
        <v>36</v>
      </c>
      <c r="D413" s="10" t="s">
        <v>13</v>
      </c>
      <c r="E413" s="10" t="s">
        <v>14</v>
      </c>
      <c r="F413" s="10">
        <v>110.0</v>
      </c>
      <c r="G413" s="10" t="str">
        <f>IFERROR(VLOOKUP(C413&amp;D413&amp;E413&amp;F413,productID!$A$2:$B$7,2,FALSE))</f>
        <v/>
      </c>
      <c r="H413" s="10">
        <v>2022.0</v>
      </c>
      <c r="I413" s="10" t="s">
        <v>51</v>
      </c>
      <c r="J413" s="10">
        <v>21.87782965951355</v>
      </c>
      <c r="K413" s="11"/>
      <c r="L413" s="12"/>
      <c r="M413" s="9">
        <v>1.9173296337838275</v>
      </c>
    </row>
    <row r="414">
      <c r="A414" s="10" t="s">
        <v>10</v>
      </c>
      <c r="B414" s="10" t="s">
        <v>36</v>
      </c>
      <c r="C414" s="10" t="s">
        <v>36</v>
      </c>
      <c r="D414" s="10" t="s">
        <v>13</v>
      </c>
      <c r="E414" s="10" t="s">
        <v>14</v>
      </c>
      <c r="F414" s="10">
        <v>110.0</v>
      </c>
      <c r="G414" s="10" t="str">
        <f>IFERROR(VLOOKUP(C414&amp;D414&amp;E414&amp;F414,productID!$A$2:$B$7,2,FALSE))</f>
        <v/>
      </c>
      <c r="H414" s="10">
        <v>2022.0</v>
      </c>
      <c r="I414" s="10" t="s">
        <v>52</v>
      </c>
      <c r="J414" s="10">
        <v>21.346142475692176</v>
      </c>
      <c r="K414" s="11"/>
      <c r="L414" s="12"/>
      <c r="M414" s="9">
        <v>1.863005470261327</v>
      </c>
    </row>
    <row r="415">
      <c r="A415" s="10" t="s">
        <v>10</v>
      </c>
      <c r="B415" s="10" t="s">
        <v>36</v>
      </c>
      <c r="C415" s="10" t="s">
        <v>36</v>
      </c>
      <c r="D415" s="10" t="s">
        <v>13</v>
      </c>
      <c r="E415" s="10" t="s">
        <v>14</v>
      </c>
      <c r="F415" s="10">
        <v>110.0</v>
      </c>
      <c r="G415" s="10" t="str">
        <f>IFERROR(VLOOKUP(C415&amp;D415&amp;E415&amp;F415,productID!$A$2:$B$7,2,FALSE))</f>
        <v/>
      </c>
      <c r="H415" s="10">
        <v>2022.0</v>
      </c>
      <c r="I415" s="10" t="s">
        <v>53</v>
      </c>
      <c r="J415" s="10">
        <v>22.149355063444418</v>
      </c>
      <c r="K415" s="11"/>
      <c r="L415" s="12"/>
      <c r="M415" s="9">
        <v>1.9361056685994977</v>
      </c>
    </row>
    <row r="416">
      <c r="A416" s="10" t="s">
        <v>10</v>
      </c>
      <c r="B416" s="10" t="s">
        <v>36</v>
      </c>
      <c r="C416" s="10" t="s">
        <v>36</v>
      </c>
      <c r="D416" s="10" t="s">
        <v>13</v>
      </c>
      <c r="E416" s="10" t="s">
        <v>14</v>
      </c>
      <c r="F416" s="10">
        <v>110.0</v>
      </c>
      <c r="G416" s="10" t="str">
        <f>IFERROR(VLOOKUP(C416&amp;D416&amp;E416&amp;F416,productID!$A$2:$B$7,2,FALSE))</f>
        <v/>
      </c>
      <c r="H416" s="10">
        <v>2022.0</v>
      </c>
      <c r="I416" s="10" t="s">
        <v>54</v>
      </c>
      <c r="J416" s="10">
        <v>20.593507782814555</v>
      </c>
      <c r="K416" s="11"/>
      <c r="L416" s="12"/>
      <c r="M416" s="9">
        <v>1.8649172189623062</v>
      </c>
    </row>
    <row r="417">
      <c r="A417" s="10" t="s">
        <v>10</v>
      </c>
      <c r="B417" s="10" t="s">
        <v>36</v>
      </c>
      <c r="C417" s="10" t="s">
        <v>36</v>
      </c>
      <c r="D417" s="10" t="s">
        <v>13</v>
      </c>
      <c r="E417" s="10" t="s">
        <v>14</v>
      </c>
      <c r="F417" s="10">
        <v>110.0</v>
      </c>
      <c r="G417" s="10" t="str">
        <f>IFERROR(VLOOKUP(C417&amp;D417&amp;E417&amp;F417,productID!$A$2:$B$7,2,FALSE))</f>
        <v/>
      </c>
      <c r="H417" s="10">
        <v>2023.0</v>
      </c>
      <c r="I417" s="10" t="s">
        <v>51</v>
      </c>
      <c r="J417" s="10">
        <v>25.709159335609243</v>
      </c>
      <c r="K417" s="11"/>
      <c r="L417" s="12"/>
      <c r="M417" s="9">
        <v>2.179940154970563</v>
      </c>
    </row>
    <row r="418">
      <c r="A418" s="10" t="s">
        <v>10</v>
      </c>
      <c r="B418" s="10" t="s">
        <v>36</v>
      </c>
      <c r="C418" s="10" t="s">
        <v>36</v>
      </c>
      <c r="D418" s="10" t="s">
        <v>13</v>
      </c>
      <c r="E418" s="10" t="s">
        <v>14</v>
      </c>
      <c r="F418" s="10">
        <v>110.0</v>
      </c>
      <c r="G418" s="10" t="str">
        <f>IFERROR(VLOOKUP(C418&amp;D418&amp;E418&amp;F418,productID!$A$2:$B$7,2,FALSE))</f>
        <v/>
      </c>
      <c r="H418" s="10">
        <v>2023.0</v>
      </c>
      <c r="I418" s="10" t="s">
        <v>52</v>
      </c>
      <c r="J418" s="10">
        <v>28.64464192524929</v>
      </c>
      <c r="K418" s="11"/>
      <c r="L418" s="12"/>
      <c r="M418" s="9">
        <v>2.263728623525139</v>
      </c>
    </row>
    <row r="419">
      <c r="A419" s="10" t="s">
        <v>10</v>
      </c>
      <c r="B419" s="10" t="s">
        <v>36</v>
      </c>
      <c r="C419" s="10" t="s">
        <v>36</v>
      </c>
      <c r="D419" s="10" t="s">
        <v>13</v>
      </c>
      <c r="E419" s="10" t="s">
        <v>14</v>
      </c>
      <c r="F419" s="10">
        <v>110.0</v>
      </c>
      <c r="G419" s="10" t="str">
        <f>IFERROR(VLOOKUP(C419&amp;D419&amp;E419&amp;F419,productID!$A$2:$B$7,2,FALSE))</f>
        <v/>
      </c>
      <c r="H419" s="10">
        <v>2023.0</v>
      </c>
      <c r="I419" s="10" t="s">
        <v>53</v>
      </c>
      <c r="J419" s="10">
        <v>28.5304957445299</v>
      </c>
      <c r="K419" s="11"/>
      <c r="L419" s="12"/>
      <c r="M419" s="9">
        <v>2.3110860899406167</v>
      </c>
    </row>
    <row r="420">
      <c r="A420" s="10" t="s">
        <v>10</v>
      </c>
      <c r="B420" s="10" t="s">
        <v>36</v>
      </c>
      <c r="C420" s="10" t="s">
        <v>36</v>
      </c>
      <c r="D420" s="10" t="s">
        <v>13</v>
      </c>
      <c r="E420" s="10" t="s">
        <v>14</v>
      </c>
      <c r="F420" s="10">
        <v>110.0</v>
      </c>
      <c r="G420" s="10" t="str">
        <f>IFERROR(VLOOKUP(C420&amp;D420&amp;E420&amp;F420,productID!$A$2:$B$7,2,FALSE))</f>
        <v/>
      </c>
      <c r="H420" s="10">
        <v>2023.0</v>
      </c>
      <c r="I420" s="10" t="s">
        <v>54</v>
      </c>
      <c r="J420" s="10">
        <v>26.8319596158113</v>
      </c>
      <c r="K420" s="11"/>
      <c r="L420" s="12"/>
      <c r="M420" s="9">
        <v>2.308773938017404</v>
      </c>
    </row>
    <row r="421">
      <c r="A421" s="10" t="s">
        <v>24</v>
      </c>
      <c r="B421" s="10" t="s">
        <v>36</v>
      </c>
      <c r="C421" s="10" t="s">
        <v>36</v>
      </c>
      <c r="D421" s="10" t="s">
        <v>13</v>
      </c>
      <c r="E421" s="10" t="s">
        <v>14</v>
      </c>
      <c r="F421" s="10">
        <v>110.0</v>
      </c>
      <c r="G421" s="10" t="str">
        <f>IFERROR(VLOOKUP(C421&amp;D421&amp;E421&amp;F421,productID!$A$2:$B$7,2,FALSE))</f>
        <v/>
      </c>
      <c r="H421" s="10">
        <v>2022.0</v>
      </c>
      <c r="I421" s="10" t="s">
        <v>51</v>
      </c>
      <c r="J421" s="10">
        <v>43.90461900547941</v>
      </c>
      <c r="K421" s="11"/>
      <c r="L421" s="12"/>
      <c r="M421" s="9">
        <v>4.903451965999108</v>
      </c>
    </row>
    <row r="422">
      <c r="A422" s="10" t="s">
        <v>24</v>
      </c>
      <c r="B422" s="10" t="s">
        <v>36</v>
      </c>
      <c r="C422" s="10" t="s">
        <v>36</v>
      </c>
      <c r="D422" s="10" t="s">
        <v>13</v>
      </c>
      <c r="E422" s="10" t="s">
        <v>14</v>
      </c>
      <c r="F422" s="10">
        <v>110.0</v>
      </c>
      <c r="G422" s="10" t="str">
        <f>IFERROR(VLOOKUP(C422&amp;D422&amp;E422&amp;F422,productID!$A$2:$B$7,2,FALSE))</f>
        <v/>
      </c>
      <c r="H422" s="10">
        <v>2022.0</v>
      </c>
      <c r="I422" s="10" t="s">
        <v>52</v>
      </c>
      <c r="J422" s="10">
        <v>36.46294947764158</v>
      </c>
      <c r="K422" s="11"/>
      <c r="L422" s="12"/>
      <c r="M422" s="9">
        <v>3.8927322560601114</v>
      </c>
    </row>
    <row r="423">
      <c r="A423" s="10" t="s">
        <v>24</v>
      </c>
      <c r="B423" s="10" t="s">
        <v>36</v>
      </c>
      <c r="C423" s="10" t="s">
        <v>36</v>
      </c>
      <c r="D423" s="10" t="s">
        <v>13</v>
      </c>
      <c r="E423" s="10" t="s">
        <v>14</v>
      </c>
      <c r="F423" s="10">
        <v>110.0</v>
      </c>
      <c r="G423" s="10" t="str">
        <f>IFERROR(VLOOKUP(C423&amp;D423&amp;E423&amp;F423,productID!$A$2:$B$7,2,FALSE))</f>
        <v/>
      </c>
      <c r="H423" s="10">
        <v>2022.0</v>
      </c>
      <c r="I423" s="10" t="s">
        <v>53</v>
      </c>
      <c r="J423" s="10">
        <v>31.936141101426546</v>
      </c>
      <c r="K423" s="11"/>
      <c r="L423" s="12"/>
      <c r="M423" s="9">
        <v>3.318459396770256</v>
      </c>
    </row>
    <row r="424">
      <c r="A424" s="10" t="s">
        <v>24</v>
      </c>
      <c r="B424" s="10" t="s">
        <v>36</v>
      </c>
      <c r="C424" s="10" t="s">
        <v>36</v>
      </c>
      <c r="D424" s="10" t="s">
        <v>13</v>
      </c>
      <c r="E424" s="10" t="s">
        <v>14</v>
      </c>
      <c r="F424" s="10">
        <v>110.0</v>
      </c>
      <c r="G424" s="10" t="str">
        <f>IFERROR(VLOOKUP(C424&amp;D424&amp;E424&amp;F424,productID!$A$2:$B$7,2,FALSE))</f>
        <v/>
      </c>
      <c r="H424" s="10">
        <v>2022.0</v>
      </c>
      <c r="I424" s="10" t="s">
        <v>54</v>
      </c>
      <c r="J424" s="10">
        <v>31.069304075273813</v>
      </c>
      <c r="K424" s="11"/>
      <c r="L424" s="12"/>
      <c r="M424" s="9">
        <v>3.3353883203659778</v>
      </c>
    </row>
    <row r="425">
      <c r="A425" s="10" t="s">
        <v>24</v>
      </c>
      <c r="B425" s="10" t="s">
        <v>36</v>
      </c>
      <c r="C425" s="10" t="s">
        <v>36</v>
      </c>
      <c r="D425" s="10" t="s">
        <v>13</v>
      </c>
      <c r="E425" s="10" t="s">
        <v>14</v>
      </c>
      <c r="F425" s="10">
        <v>110.0</v>
      </c>
      <c r="G425" s="10" t="str">
        <f>IFERROR(VLOOKUP(C425&amp;D425&amp;E425&amp;F425,productID!$A$2:$B$7,2,FALSE))</f>
        <v/>
      </c>
      <c r="H425" s="10">
        <v>2023.0</v>
      </c>
      <c r="I425" s="10" t="s">
        <v>51</v>
      </c>
      <c r="J425" s="10">
        <v>36.27491571113489</v>
      </c>
      <c r="K425" s="11"/>
      <c r="L425" s="12"/>
      <c r="M425" s="9">
        <v>3.7934079906857447</v>
      </c>
    </row>
    <row r="426">
      <c r="A426" s="10" t="s">
        <v>24</v>
      </c>
      <c r="B426" s="10" t="s">
        <v>36</v>
      </c>
      <c r="C426" s="10" t="s">
        <v>36</v>
      </c>
      <c r="D426" s="10" t="s">
        <v>13</v>
      </c>
      <c r="E426" s="10" t="s">
        <v>14</v>
      </c>
      <c r="F426" s="10">
        <v>110.0</v>
      </c>
      <c r="G426" s="10" t="str">
        <f>IFERROR(VLOOKUP(C426&amp;D426&amp;E426&amp;F426,productID!$A$2:$B$7,2,FALSE))</f>
        <v/>
      </c>
      <c r="H426" s="10">
        <v>2023.0</v>
      </c>
      <c r="I426" s="10" t="s">
        <v>52</v>
      </c>
      <c r="J426" s="10">
        <v>35.389465733108</v>
      </c>
      <c r="K426" s="11"/>
      <c r="L426" s="12"/>
      <c r="M426" s="9">
        <v>3.6522938643811904</v>
      </c>
    </row>
    <row r="427">
      <c r="A427" s="10" t="s">
        <v>24</v>
      </c>
      <c r="B427" s="10" t="s">
        <v>36</v>
      </c>
      <c r="C427" s="10" t="s">
        <v>36</v>
      </c>
      <c r="D427" s="10" t="s">
        <v>13</v>
      </c>
      <c r="E427" s="10" t="s">
        <v>14</v>
      </c>
      <c r="F427" s="10">
        <v>110.0</v>
      </c>
      <c r="G427" s="10" t="str">
        <f>IFERROR(VLOOKUP(C427&amp;D427&amp;E427&amp;F427,productID!$A$2:$B$7,2,FALSE))</f>
        <v/>
      </c>
      <c r="H427" s="10">
        <v>2023.0</v>
      </c>
      <c r="I427" s="10" t="s">
        <v>53</v>
      </c>
      <c r="J427" s="10">
        <v>33.437698239776985</v>
      </c>
      <c r="K427" s="11"/>
      <c r="L427" s="12"/>
      <c r="M427" s="9">
        <v>3.6730437891083754</v>
      </c>
    </row>
    <row r="428">
      <c r="A428" s="10" t="s">
        <v>24</v>
      </c>
      <c r="B428" s="10" t="s">
        <v>36</v>
      </c>
      <c r="C428" s="10" t="s">
        <v>36</v>
      </c>
      <c r="D428" s="10" t="s">
        <v>13</v>
      </c>
      <c r="E428" s="10" t="s">
        <v>14</v>
      </c>
      <c r="F428" s="10">
        <v>110.0</v>
      </c>
      <c r="G428" s="10" t="str">
        <f>IFERROR(VLOOKUP(C428&amp;D428&amp;E428&amp;F428,productID!$A$2:$B$7,2,FALSE))</f>
        <v/>
      </c>
      <c r="H428" s="10">
        <v>2023.0</v>
      </c>
      <c r="I428" s="10" t="s">
        <v>54</v>
      </c>
      <c r="J428" s="10">
        <v>30.310966070332793</v>
      </c>
      <c r="K428" s="11"/>
      <c r="L428" s="12"/>
      <c r="M428" s="9">
        <v>3.843896520234756</v>
      </c>
    </row>
    <row r="429">
      <c r="A429" s="10" t="s">
        <v>25</v>
      </c>
      <c r="B429" s="10" t="s">
        <v>36</v>
      </c>
      <c r="C429" s="10" t="s">
        <v>36</v>
      </c>
      <c r="D429" s="10" t="s">
        <v>13</v>
      </c>
      <c r="E429" s="10" t="s">
        <v>14</v>
      </c>
      <c r="F429" s="10">
        <v>110.0</v>
      </c>
      <c r="G429" s="10" t="str">
        <f>IFERROR(VLOOKUP(C429&amp;D429&amp;E429&amp;F429,productID!$A$2:$B$7,2,FALSE))</f>
        <v/>
      </c>
      <c r="H429" s="10">
        <v>2022.0</v>
      </c>
      <c r="I429" s="10" t="s">
        <v>51</v>
      </c>
      <c r="J429" s="10">
        <v>47.84049125630765</v>
      </c>
      <c r="K429" s="11"/>
      <c r="L429" s="12"/>
      <c r="M429" s="9">
        <v>4.89545462790811</v>
      </c>
    </row>
    <row r="430">
      <c r="A430" s="10" t="s">
        <v>25</v>
      </c>
      <c r="B430" s="10" t="s">
        <v>36</v>
      </c>
      <c r="C430" s="10" t="s">
        <v>36</v>
      </c>
      <c r="D430" s="10" t="s">
        <v>13</v>
      </c>
      <c r="E430" s="10" t="s">
        <v>14</v>
      </c>
      <c r="F430" s="10">
        <v>110.0</v>
      </c>
      <c r="G430" s="10" t="str">
        <f>IFERROR(VLOOKUP(C430&amp;D430&amp;E430&amp;F430,productID!$A$2:$B$7,2,FALSE))</f>
        <v/>
      </c>
      <c r="H430" s="10">
        <v>2022.0</v>
      </c>
      <c r="I430" s="10" t="s">
        <v>52</v>
      </c>
      <c r="J430" s="10">
        <v>40.68438819095387</v>
      </c>
      <c r="K430" s="11"/>
      <c r="L430" s="12"/>
      <c r="M430" s="9">
        <v>4.126503899135488</v>
      </c>
    </row>
    <row r="431">
      <c r="A431" s="10" t="s">
        <v>25</v>
      </c>
      <c r="B431" s="10" t="s">
        <v>36</v>
      </c>
      <c r="C431" s="10" t="s">
        <v>36</v>
      </c>
      <c r="D431" s="10" t="s">
        <v>13</v>
      </c>
      <c r="E431" s="10" t="s">
        <v>14</v>
      </c>
      <c r="F431" s="10">
        <v>110.0</v>
      </c>
      <c r="G431" s="10" t="str">
        <f>IFERROR(VLOOKUP(C431&amp;D431&amp;E431&amp;F431,productID!$A$2:$B$7,2,FALSE))</f>
        <v/>
      </c>
      <c r="H431" s="10">
        <v>2022.0</v>
      </c>
      <c r="I431" s="10" t="s">
        <v>53</v>
      </c>
      <c r="J431" s="10">
        <v>44.49233950660436</v>
      </c>
      <c r="K431" s="11"/>
      <c r="L431" s="12"/>
      <c r="M431" s="9">
        <v>4.3395343167538005</v>
      </c>
    </row>
    <row r="432">
      <c r="A432" s="10" t="s">
        <v>25</v>
      </c>
      <c r="B432" s="10" t="s">
        <v>36</v>
      </c>
      <c r="C432" s="10" t="s">
        <v>36</v>
      </c>
      <c r="D432" s="10" t="s">
        <v>13</v>
      </c>
      <c r="E432" s="10" t="s">
        <v>14</v>
      </c>
      <c r="F432" s="10">
        <v>110.0</v>
      </c>
      <c r="G432" s="10" t="str">
        <f>IFERROR(VLOOKUP(C432&amp;D432&amp;E432&amp;F432,productID!$A$2:$B$7,2,FALSE))</f>
        <v/>
      </c>
      <c r="H432" s="10">
        <v>2022.0</v>
      </c>
      <c r="I432" s="10" t="s">
        <v>54</v>
      </c>
      <c r="J432" s="10">
        <v>36.397152382814824</v>
      </c>
      <c r="K432" s="11"/>
      <c r="L432" s="12"/>
      <c r="M432" s="9">
        <v>3.501835628185567</v>
      </c>
    </row>
    <row r="433">
      <c r="A433" s="10" t="s">
        <v>25</v>
      </c>
      <c r="B433" s="10" t="s">
        <v>36</v>
      </c>
      <c r="C433" s="10" t="s">
        <v>36</v>
      </c>
      <c r="D433" s="10" t="s">
        <v>13</v>
      </c>
      <c r="E433" s="10" t="s">
        <v>14</v>
      </c>
      <c r="F433" s="10">
        <v>110.0</v>
      </c>
      <c r="G433" s="10" t="str">
        <f>IFERROR(VLOOKUP(C433&amp;D433&amp;E433&amp;F433,productID!$A$2:$B$7,2,FALSE))</f>
        <v/>
      </c>
      <c r="H433" s="10">
        <v>2023.0</v>
      </c>
      <c r="I433" s="10" t="s">
        <v>51</v>
      </c>
      <c r="J433" s="10">
        <v>45.695488663443356</v>
      </c>
      <c r="K433" s="11"/>
      <c r="L433" s="12"/>
      <c r="M433" s="9">
        <v>4.1611700387696064</v>
      </c>
    </row>
    <row r="434">
      <c r="A434" s="10" t="s">
        <v>25</v>
      </c>
      <c r="B434" s="10" t="s">
        <v>36</v>
      </c>
      <c r="C434" s="10" t="s">
        <v>36</v>
      </c>
      <c r="D434" s="10" t="s">
        <v>13</v>
      </c>
      <c r="E434" s="10" t="s">
        <v>14</v>
      </c>
      <c r="F434" s="10">
        <v>110.0</v>
      </c>
      <c r="G434" s="10" t="str">
        <f>IFERROR(VLOOKUP(C434&amp;D434&amp;E434&amp;F434,productID!$A$2:$B$7,2,FALSE))</f>
        <v/>
      </c>
      <c r="H434" s="10">
        <v>2023.0</v>
      </c>
      <c r="I434" s="10" t="s">
        <v>52</v>
      </c>
      <c r="J434" s="10">
        <v>43.43076135028738</v>
      </c>
      <c r="K434" s="11"/>
      <c r="L434" s="12"/>
      <c r="M434" s="9">
        <v>3.899469040835347</v>
      </c>
    </row>
    <row r="435">
      <c r="A435" s="10" t="s">
        <v>25</v>
      </c>
      <c r="B435" s="10" t="s">
        <v>36</v>
      </c>
      <c r="C435" s="10" t="s">
        <v>36</v>
      </c>
      <c r="D435" s="10" t="s">
        <v>13</v>
      </c>
      <c r="E435" s="10" t="s">
        <v>14</v>
      </c>
      <c r="F435" s="10">
        <v>110.0</v>
      </c>
      <c r="G435" s="10" t="str">
        <f>IFERROR(VLOOKUP(C435&amp;D435&amp;E435&amp;F435,productID!$A$2:$B$7,2,FALSE))</f>
        <v/>
      </c>
      <c r="H435" s="10">
        <v>2023.0</v>
      </c>
      <c r="I435" s="10" t="s">
        <v>53</v>
      </c>
      <c r="J435" s="10">
        <v>37.78890583799523</v>
      </c>
      <c r="K435" s="11"/>
      <c r="L435" s="12"/>
      <c r="M435" s="9">
        <v>3.6015091019527676</v>
      </c>
    </row>
    <row r="436">
      <c r="A436" s="10" t="s">
        <v>25</v>
      </c>
      <c r="B436" s="10" t="s">
        <v>36</v>
      </c>
      <c r="C436" s="10" t="s">
        <v>36</v>
      </c>
      <c r="D436" s="10" t="s">
        <v>13</v>
      </c>
      <c r="E436" s="10" t="s">
        <v>14</v>
      </c>
      <c r="F436" s="10">
        <v>110.0</v>
      </c>
      <c r="G436" s="10" t="str">
        <f>IFERROR(VLOOKUP(C436&amp;D436&amp;E436&amp;F436,productID!$A$2:$B$7,2,FALSE))</f>
        <v/>
      </c>
      <c r="H436" s="10">
        <v>2023.0</v>
      </c>
      <c r="I436" s="10" t="s">
        <v>54</v>
      </c>
      <c r="J436" s="10">
        <v>32.975449575792474</v>
      </c>
      <c r="K436" s="11"/>
      <c r="L436" s="12"/>
      <c r="M436" s="9">
        <v>3.3562647408856514</v>
      </c>
    </row>
    <row r="437">
      <c r="A437" s="10" t="s">
        <v>26</v>
      </c>
      <c r="B437" s="10" t="s">
        <v>36</v>
      </c>
      <c r="C437" s="10" t="s">
        <v>36</v>
      </c>
      <c r="D437" s="10" t="s">
        <v>13</v>
      </c>
      <c r="E437" s="10" t="s">
        <v>14</v>
      </c>
      <c r="F437" s="10">
        <v>110.0</v>
      </c>
      <c r="G437" s="10" t="str">
        <f>IFERROR(VLOOKUP(C437&amp;D437&amp;E437&amp;F437,productID!$A$2:$B$7,2,FALSE))</f>
        <v/>
      </c>
      <c r="H437" s="10">
        <v>2022.0</v>
      </c>
      <c r="I437" s="10" t="s">
        <v>51</v>
      </c>
      <c r="J437" s="10">
        <v>16.073341714007398</v>
      </c>
      <c r="K437" s="11"/>
      <c r="L437" s="12"/>
      <c r="M437" s="9">
        <v>0.7781028484896689</v>
      </c>
    </row>
    <row r="438">
      <c r="A438" s="10" t="s">
        <v>26</v>
      </c>
      <c r="B438" s="10" t="s">
        <v>36</v>
      </c>
      <c r="C438" s="10" t="s">
        <v>36</v>
      </c>
      <c r="D438" s="10" t="s">
        <v>13</v>
      </c>
      <c r="E438" s="10" t="s">
        <v>14</v>
      </c>
      <c r="F438" s="10">
        <v>110.0</v>
      </c>
      <c r="G438" s="10" t="str">
        <f>IFERROR(VLOOKUP(C438&amp;D438&amp;E438&amp;F438,productID!$A$2:$B$7,2,FALSE))</f>
        <v/>
      </c>
      <c r="H438" s="10">
        <v>2022.0</v>
      </c>
      <c r="I438" s="10" t="s">
        <v>52</v>
      </c>
      <c r="J438" s="10">
        <v>15.074701296579335</v>
      </c>
      <c r="K438" s="11"/>
      <c r="L438" s="12"/>
      <c r="M438" s="9">
        <v>0.7178523654390049</v>
      </c>
    </row>
    <row r="439">
      <c r="A439" s="10" t="s">
        <v>26</v>
      </c>
      <c r="B439" s="10" t="s">
        <v>36</v>
      </c>
      <c r="C439" s="10" t="s">
        <v>36</v>
      </c>
      <c r="D439" s="10" t="s">
        <v>13</v>
      </c>
      <c r="E439" s="10" t="s">
        <v>14</v>
      </c>
      <c r="F439" s="10">
        <v>110.0</v>
      </c>
      <c r="G439" s="10" t="str">
        <f>IFERROR(VLOOKUP(C439&amp;D439&amp;E439&amp;F439,productID!$A$2:$B$7,2,FALSE))</f>
        <v/>
      </c>
      <c r="H439" s="10">
        <v>2022.0</v>
      </c>
      <c r="I439" s="10" t="s">
        <v>53</v>
      </c>
      <c r="J439" s="10">
        <v>13.878826051335968</v>
      </c>
      <c r="K439" s="11"/>
      <c r="L439" s="12"/>
      <c r="M439" s="9">
        <v>0.6626361778114433</v>
      </c>
    </row>
    <row r="440">
      <c r="A440" s="10" t="s">
        <v>26</v>
      </c>
      <c r="B440" s="10" t="s">
        <v>36</v>
      </c>
      <c r="C440" s="10" t="s">
        <v>36</v>
      </c>
      <c r="D440" s="10" t="s">
        <v>13</v>
      </c>
      <c r="E440" s="10" t="s">
        <v>14</v>
      </c>
      <c r="F440" s="10">
        <v>110.0</v>
      </c>
      <c r="G440" s="10" t="str">
        <f>IFERROR(VLOOKUP(C440&amp;D440&amp;E440&amp;F440,productID!$A$2:$B$7,2,FALSE))</f>
        <v/>
      </c>
      <c r="H440" s="10">
        <v>2022.0</v>
      </c>
      <c r="I440" s="10" t="s">
        <v>54</v>
      </c>
      <c r="J440" s="10">
        <v>12.202956721519966</v>
      </c>
      <c r="K440" s="11"/>
      <c r="L440" s="12"/>
      <c r="M440" s="9">
        <v>0.5716139875007724</v>
      </c>
    </row>
    <row r="441">
      <c r="A441" s="10" t="s">
        <v>26</v>
      </c>
      <c r="B441" s="10" t="s">
        <v>36</v>
      </c>
      <c r="C441" s="10" t="s">
        <v>36</v>
      </c>
      <c r="D441" s="10" t="s">
        <v>13</v>
      </c>
      <c r="E441" s="10" t="s">
        <v>14</v>
      </c>
      <c r="F441" s="10">
        <v>110.0</v>
      </c>
      <c r="G441" s="10" t="str">
        <f>IFERROR(VLOOKUP(C441&amp;D441&amp;E441&amp;F441,productID!$A$2:$B$7,2,FALSE))</f>
        <v/>
      </c>
      <c r="H441" s="10">
        <v>2023.0</v>
      </c>
      <c r="I441" s="10" t="s">
        <v>51</v>
      </c>
      <c r="J441" s="10">
        <v>15.457061015919786</v>
      </c>
      <c r="K441" s="11"/>
      <c r="L441" s="12"/>
      <c r="M441" s="9">
        <v>0.7168881362725018</v>
      </c>
    </row>
    <row r="442">
      <c r="A442" s="10" t="s">
        <v>26</v>
      </c>
      <c r="B442" s="10" t="s">
        <v>36</v>
      </c>
      <c r="C442" s="10" t="s">
        <v>36</v>
      </c>
      <c r="D442" s="10" t="s">
        <v>13</v>
      </c>
      <c r="E442" s="10" t="s">
        <v>14</v>
      </c>
      <c r="F442" s="10">
        <v>110.0</v>
      </c>
      <c r="G442" s="10" t="str">
        <f>IFERROR(VLOOKUP(C442&amp;D442&amp;E442&amp;F442,productID!$A$2:$B$7,2,FALSE))</f>
        <v/>
      </c>
      <c r="H442" s="10">
        <v>2023.0</v>
      </c>
      <c r="I442" s="10" t="s">
        <v>52</v>
      </c>
      <c r="J442" s="10">
        <v>15.455311860317657</v>
      </c>
      <c r="K442" s="11"/>
      <c r="L442" s="12"/>
      <c r="M442" s="9">
        <v>0.6935990303089968</v>
      </c>
    </row>
    <row r="443">
      <c r="A443" s="10" t="s">
        <v>26</v>
      </c>
      <c r="B443" s="10" t="s">
        <v>36</v>
      </c>
      <c r="C443" s="10" t="s">
        <v>36</v>
      </c>
      <c r="D443" s="10" t="s">
        <v>13</v>
      </c>
      <c r="E443" s="10" t="s">
        <v>14</v>
      </c>
      <c r="F443" s="10">
        <v>110.0</v>
      </c>
      <c r="G443" s="10" t="str">
        <f>IFERROR(VLOOKUP(C443&amp;D443&amp;E443&amp;F443,productID!$A$2:$B$7,2,FALSE))</f>
        <v/>
      </c>
      <c r="H443" s="10">
        <v>2023.0</v>
      </c>
      <c r="I443" s="10" t="s">
        <v>53</v>
      </c>
      <c r="J443" s="10">
        <v>15.343161898061796</v>
      </c>
      <c r="K443" s="11"/>
      <c r="L443" s="12"/>
      <c r="M443" s="9">
        <v>0.7040472934064717</v>
      </c>
    </row>
    <row r="444">
      <c r="A444" s="10" t="s">
        <v>26</v>
      </c>
      <c r="B444" s="10" t="s">
        <v>36</v>
      </c>
      <c r="C444" s="10" t="s">
        <v>36</v>
      </c>
      <c r="D444" s="10" t="s">
        <v>13</v>
      </c>
      <c r="E444" s="10" t="s">
        <v>14</v>
      </c>
      <c r="F444" s="10">
        <v>110.0</v>
      </c>
      <c r="G444" s="10" t="str">
        <f>IFERROR(VLOOKUP(C444&amp;D444&amp;E444&amp;F444,productID!$A$2:$B$7,2,FALSE))</f>
        <v/>
      </c>
      <c r="H444" s="10">
        <v>2023.0</v>
      </c>
      <c r="I444" s="10" t="s">
        <v>54</v>
      </c>
      <c r="J444" s="10">
        <v>15.156424169713523</v>
      </c>
      <c r="K444" s="11"/>
      <c r="L444" s="12"/>
      <c r="M444" s="9">
        <v>0.7207804965398499</v>
      </c>
    </row>
    <row r="445">
      <c r="A445" s="10" t="s">
        <v>10</v>
      </c>
      <c r="B445" s="10" t="s">
        <v>36</v>
      </c>
      <c r="C445" s="10" t="s">
        <v>36</v>
      </c>
      <c r="D445" s="10" t="s">
        <v>37</v>
      </c>
      <c r="E445" s="10" t="s">
        <v>14</v>
      </c>
      <c r="F445" s="10">
        <v>180.0</v>
      </c>
      <c r="G445" s="10" t="str">
        <f>IFERROR(VLOOKUP(C445&amp;D445&amp;E445&amp;F445,productID!$A$2:$B$7,2,FALSE))</f>
        <v/>
      </c>
      <c r="H445" s="10">
        <v>2022.0</v>
      </c>
      <c r="I445" s="10" t="s">
        <v>51</v>
      </c>
      <c r="J445" s="10">
        <v>30.679416588589973</v>
      </c>
      <c r="K445" s="11"/>
      <c r="L445" s="12"/>
      <c r="M445" s="9">
        <v>2.688683269225646</v>
      </c>
    </row>
    <row r="446">
      <c r="A446" s="10" t="s">
        <v>10</v>
      </c>
      <c r="B446" s="10" t="s">
        <v>36</v>
      </c>
      <c r="C446" s="10" t="s">
        <v>36</v>
      </c>
      <c r="D446" s="10" t="s">
        <v>37</v>
      </c>
      <c r="E446" s="10" t="s">
        <v>14</v>
      </c>
      <c r="F446" s="10">
        <v>180.0</v>
      </c>
      <c r="G446" s="10" t="str">
        <f>IFERROR(VLOOKUP(C446&amp;D446&amp;E446&amp;F446,productID!$A$2:$B$7,2,FALSE))</f>
        <v/>
      </c>
      <c r="H446" s="10">
        <v>2022.0</v>
      </c>
      <c r="I446" s="10" t="s">
        <v>52</v>
      </c>
      <c r="J446" s="10">
        <v>28.26083425979212</v>
      </c>
      <c r="K446" s="11"/>
      <c r="L446" s="12"/>
      <c r="M446" s="9">
        <v>2.466491961257004</v>
      </c>
    </row>
    <row r="447">
      <c r="A447" s="10" t="s">
        <v>10</v>
      </c>
      <c r="B447" s="10" t="s">
        <v>36</v>
      </c>
      <c r="C447" s="10" t="s">
        <v>36</v>
      </c>
      <c r="D447" s="10" t="s">
        <v>37</v>
      </c>
      <c r="E447" s="10" t="s">
        <v>14</v>
      </c>
      <c r="F447" s="10">
        <v>180.0</v>
      </c>
      <c r="G447" s="10" t="str">
        <f>IFERROR(VLOOKUP(C447&amp;D447&amp;E447&amp;F447,productID!$A$2:$B$7,2,FALSE))</f>
        <v/>
      </c>
      <c r="H447" s="10">
        <v>2022.0</v>
      </c>
      <c r="I447" s="10" t="s">
        <v>53</v>
      </c>
      <c r="J447" s="10">
        <v>29.95878789538088</v>
      </c>
      <c r="K447" s="11"/>
      <c r="L447" s="12"/>
      <c r="M447" s="9">
        <v>2.6187389611332956</v>
      </c>
    </row>
    <row r="448">
      <c r="A448" s="10" t="s">
        <v>10</v>
      </c>
      <c r="B448" s="10" t="s">
        <v>36</v>
      </c>
      <c r="C448" s="10" t="s">
        <v>36</v>
      </c>
      <c r="D448" s="10" t="s">
        <v>37</v>
      </c>
      <c r="E448" s="10" t="s">
        <v>14</v>
      </c>
      <c r="F448" s="10">
        <v>180.0</v>
      </c>
      <c r="G448" s="10" t="str">
        <f>IFERROR(VLOOKUP(C448&amp;D448&amp;E448&amp;F448,productID!$A$2:$B$7,2,FALSE))</f>
        <v/>
      </c>
      <c r="H448" s="10">
        <v>2022.0</v>
      </c>
      <c r="I448" s="10" t="s">
        <v>54</v>
      </c>
      <c r="J448" s="10">
        <v>31.573491772462113</v>
      </c>
      <c r="K448" s="11"/>
      <c r="L448" s="12"/>
      <c r="M448" s="9">
        <v>2.8592481227684168</v>
      </c>
    </row>
    <row r="449">
      <c r="A449" s="10" t="s">
        <v>10</v>
      </c>
      <c r="B449" s="10" t="s">
        <v>36</v>
      </c>
      <c r="C449" s="10" t="s">
        <v>36</v>
      </c>
      <c r="D449" s="10" t="s">
        <v>37</v>
      </c>
      <c r="E449" s="10" t="s">
        <v>14</v>
      </c>
      <c r="F449" s="10">
        <v>180.0</v>
      </c>
      <c r="G449" s="10" t="str">
        <f>IFERROR(VLOOKUP(C449&amp;D449&amp;E449&amp;F449,productID!$A$2:$B$7,2,FALSE))</f>
        <v/>
      </c>
      <c r="H449" s="10">
        <v>2023.0</v>
      </c>
      <c r="I449" s="10" t="s">
        <v>51</v>
      </c>
      <c r="J449" s="10">
        <v>36.38090826644178</v>
      </c>
      <c r="K449" s="11"/>
      <c r="L449" s="12"/>
      <c r="M449" s="9">
        <v>3.0848228745647357</v>
      </c>
    </row>
    <row r="450">
      <c r="A450" s="10" t="s">
        <v>10</v>
      </c>
      <c r="B450" s="10" t="s">
        <v>36</v>
      </c>
      <c r="C450" s="10" t="s">
        <v>36</v>
      </c>
      <c r="D450" s="10" t="s">
        <v>37</v>
      </c>
      <c r="E450" s="10" t="s">
        <v>14</v>
      </c>
      <c r="F450" s="10">
        <v>180.0</v>
      </c>
      <c r="G450" s="10" t="str">
        <f>IFERROR(VLOOKUP(C450&amp;D450&amp;E450&amp;F450,productID!$A$2:$B$7,2,FALSE))</f>
        <v/>
      </c>
      <c r="H450" s="10">
        <v>2023.0</v>
      </c>
      <c r="I450" s="10" t="s">
        <v>52</v>
      </c>
      <c r="J450" s="10">
        <v>38.72539574363796</v>
      </c>
      <c r="K450" s="11"/>
      <c r="L450" s="12"/>
      <c r="M450" s="9">
        <v>3.0603903875279084</v>
      </c>
    </row>
    <row r="451">
      <c r="A451" s="10" t="s">
        <v>10</v>
      </c>
      <c r="B451" s="10" t="s">
        <v>36</v>
      </c>
      <c r="C451" s="10" t="s">
        <v>36</v>
      </c>
      <c r="D451" s="10" t="s">
        <v>37</v>
      </c>
      <c r="E451" s="10" t="s">
        <v>14</v>
      </c>
      <c r="F451" s="10">
        <v>180.0</v>
      </c>
      <c r="G451" s="10" t="str">
        <f>IFERROR(VLOOKUP(C451&amp;D451&amp;E451&amp;F451,productID!$A$2:$B$7,2,FALSE))</f>
        <v/>
      </c>
      <c r="H451" s="10">
        <v>2023.0</v>
      </c>
      <c r="I451" s="10" t="s">
        <v>53</v>
      </c>
      <c r="J451" s="10">
        <v>38.77347145636723</v>
      </c>
      <c r="K451" s="11"/>
      <c r="L451" s="12"/>
      <c r="M451" s="9">
        <v>3.140808745277425</v>
      </c>
    </row>
    <row r="452">
      <c r="A452" s="10" t="s">
        <v>10</v>
      </c>
      <c r="B452" s="10" t="s">
        <v>36</v>
      </c>
      <c r="C452" s="10" t="s">
        <v>36</v>
      </c>
      <c r="D452" s="10" t="s">
        <v>37</v>
      </c>
      <c r="E452" s="10" t="s">
        <v>14</v>
      </c>
      <c r="F452" s="10">
        <v>180.0</v>
      </c>
      <c r="G452" s="10" t="str">
        <f>IFERROR(VLOOKUP(C452&amp;D452&amp;E452&amp;F452,productID!$A$2:$B$7,2,FALSE))</f>
        <v/>
      </c>
      <c r="H452" s="10">
        <v>2023.0</v>
      </c>
      <c r="I452" s="10" t="s">
        <v>54</v>
      </c>
      <c r="J452" s="10">
        <v>40.3709638943521</v>
      </c>
      <c r="K452" s="11"/>
      <c r="L452" s="12"/>
      <c r="M452" s="9">
        <v>3.473746630007496</v>
      </c>
    </row>
    <row r="453">
      <c r="A453" s="10" t="s">
        <v>24</v>
      </c>
      <c r="B453" s="10" t="s">
        <v>36</v>
      </c>
      <c r="C453" s="10" t="s">
        <v>36</v>
      </c>
      <c r="D453" s="10" t="s">
        <v>37</v>
      </c>
      <c r="E453" s="10" t="s">
        <v>14</v>
      </c>
      <c r="F453" s="10">
        <v>180.0</v>
      </c>
      <c r="G453" s="10" t="str">
        <f>IFERROR(VLOOKUP(C453&amp;D453&amp;E453&amp;F453,productID!$A$2:$B$7,2,FALSE))</f>
        <v/>
      </c>
      <c r="H453" s="10">
        <v>2022.0</v>
      </c>
      <c r="I453" s="10" t="s">
        <v>51</v>
      </c>
      <c r="J453" s="10">
        <v>8.153727291077322</v>
      </c>
      <c r="K453" s="11"/>
      <c r="L453" s="12"/>
      <c r="M453" s="9">
        <v>0.9106424567917076</v>
      </c>
    </row>
    <row r="454">
      <c r="A454" s="10" t="s">
        <v>24</v>
      </c>
      <c r="B454" s="10" t="s">
        <v>36</v>
      </c>
      <c r="C454" s="10" t="s">
        <v>36</v>
      </c>
      <c r="D454" s="10" t="s">
        <v>37</v>
      </c>
      <c r="E454" s="10" t="s">
        <v>14</v>
      </c>
      <c r="F454" s="10">
        <v>180.0</v>
      </c>
      <c r="G454" s="10" t="str">
        <f>IFERROR(VLOOKUP(C454&amp;D454&amp;E454&amp;F454,productID!$A$2:$B$7,2,FALSE))</f>
        <v/>
      </c>
      <c r="H454" s="10">
        <v>2022.0</v>
      </c>
      <c r="I454" s="10" t="s">
        <v>52</v>
      </c>
      <c r="J454" s="10">
        <v>9.717670388721922</v>
      </c>
      <c r="K454" s="11"/>
      <c r="L454" s="12"/>
      <c r="M454" s="9">
        <v>1.0374445709372373</v>
      </c>
    </row>
    <row r="455">
      <c r="A455" s="10" t="s">
        <v>24</v>
      </c>
      <c r="B455" s="10" t="s">
        <v>36</v>
      </c>
      <c r="C455" s="10" t="s">
        <v>36</v>
      </c>
      <c r="D455" s="10" t="s">
        <v>37</v>
      </c>
      <c r="E455" s="10" t="s">
        <v>14</v>
      </c>
      <c r="F455" s="10">
        <v>180.0</v>
      </c>
      <c r="G455" s="10" t="str">
        <f>IFERROR(VLOOKUP(C455&amp;D455&amp;E455&amp;F455,productID!$A$2:$B$7,2,FALSE))</f>
        <v/>
      </c>
      <c r="H455" s="10">
        <v>2022.0</v>
      </c>
      <c r="I455" s="10" t="s">
        <v>53</v>
      </c>
      <c r="J455" s="10">
        <v>8.06736041574476</v>
      </c>
      <c r="K455" s="11"/>
      <c r="L455" s="12"/>
      <c r="M455" s="9">
        <v>0.838273099236926</v>
      </c>
    </row>
    <row r="456">
      <c r="A456" s="10" t="s">
        <v>24</v>
      </c>
      <c r="B456" s="10" t="s">
        <v>36</v>
      </c>
      <c r="C456" s="10" t="s">
        <v>36</v>
      </c>
      <c r="D456" s="10" t="s">
        <v>37</v>
      </c>
      <c r="E456" s="10" t="s">
        <v>14</v>
      </c>
      <c r="F456" s="10">
        <v>180.0</v>
      </c>
      <c r="G456" s="10" t="str">
        <f>IFERROR(VLOOKUP(C456&amp;D456&amp;E456&amp;F456,productID!$A$2:$B$7,2,FALSE))</f>
        <v/>
      </c>
      <c r="H456" s="10">
        <v>2022.0</v>
      </c>
      <c r="I456" s="10" t="s">
        <v>54</v>
      </c>
      <c r="J456" s="10">
        <v>8.332789339890315</v>
      </c>
      <c r="K456" s="11"/>
      <c r="L456" s="12"/>
      <c r="M456" s="9">
        <v>0.8945513608223727</v>
      </c>
    </row>
    <row r="457">
      <c r="A457" s="10" t="s">
        <v>24</v>
      </c>
      <c r="B457" s="10" t="s">
        <v>36</v>
      </c>
      <c r="C457" s="10" t="s">
        <v>36</v>
      </c>
      <c r="D457" s="10" t="s">
        <v>37</v>
      </c>
      <c r="E457" s="10" t="s">
        <v>14</v>
      </c>
      <c r="F457" s="10">
        <v>180.0</v>
      </c>
      <c r="G457" s="10" t="str">
        <f>IFERROR(VLOOKUP(C457&amp;D457&amp;E457&amp;F457,productID!$A$2:$B$7,2,FALSE))</f>
        <v/>
      </c>
      <c r="H457" s="10">
        <v>2023.0</v>
      </c>
      <c r="I457" s="10" t="s">
        <v>51</v>
      </c>
      <c r="J457" s="10">
        <v>8.943812414178579</v>
      </c>
      <c r="K457" s="11"/>
      <c r="L457" s="12"/>
      <c r="M457" s="9">
        <v>0.9352889955503065</v>
      </c>
    </row>
    <row r="458">
      <c r="A458" s="10" t="s">
        <v>24</v>
      </c>
      <c r="B458" s="10" t="s">
        <v>36</v>
      </c>
      <c r="C458" s="10" t="s">
        <v>36</v>
      </c>
      <c r="D458" s="10" t="s">
        <v>37</v>
      </c>
      <c r="E458" s="10" t="s">
        <v>14</v>
      </c>
      <c r="F458" s="10">
        <v>180.0</v>
      </c>
      <c r="G458" s="10" t="str">
        <f>IFERROR(VLOOKUP(C458&amp;D458&amp;E458&amp;F458,productID!$A$2:$B$7,2,FALSE))</f>
        <v/>
      </c>
      <c r="H458" s="10">
        <v>2023.0</v>
      </c>
      <c r="I458" s="10" t="s">
        <v>52</v>
      </c>
      <c r="J458" s="10">
        <v>9.62927577758231</v>
      </c>
      <c r="K458" s="11"/>
      <c r="L458" s="12"/>
      <c r="M458" s="9">
        <v>0.9937687419789611</v>
      </c>
    </row>
    <row r="459">
      <c r="A459" s="10" t="s">
        <v>24</v>
      </c>
      <c r="B459" s="10" t="s">
        <v>36</v>
      </c>
      <c r="C459" s="10" t="s">
        <v>36</v>
      </c>
      <c r="D459" s="10" t="s">
        <v>37</v>
      </c>
      <c r="E459" s="10" t="s">
        <v>14</v>
      </c>
      <c r="F459" s="10">
        <v>180.0</v>
      </c>
      <c r="G459" s="10" t="str">
        <f>IFERROR(VLOOKUP(C459&amp;D459&amp;E459&amp;F459,productID!$A$2:$B$7,2,FALSE))</f>
        <v/>
      </c>
      <c r="H459" s="10">
        <v>2023.0</v>
      </c>
      <c r="I459" s="10" t="s">
        <v>53</v>
      </c>
      <c r="J459" s="10">
        <v>7.402286877336059</v>
      </c>
      <c r="K459" s="11"/>
      <c r="L459" s="12"/>
      <c r="M459" s="9">
        <v>0.8131218735521127</v>
      </c>
    </row>
    <row r="460">
      <c r="A460" s="10" t="s">
        <v>24</v>
      </c>
      <c r="B460" s="10" t="s">
        <v>36</v>
      </c>
      <c r="C460" s="10" t="s">
        <v>36</v>
      </c>
      <c r="D460" s="10" t="s">
        <v>37</v>
      </c>
      <c r="E460" s="10" t="s">
        <v>14</v>
      </c>
      <c r="F460" s="10">
        <v>180.0</v>
      </c>
      <c r="G460" s="10" t="str">
        <f>IFERROR(VLOOKUP(C460&amp;D460&amp;E460&amp;F460,productID!$A$2:$B$7,2,FALSE))</f>
        <v/>
      </c>
      <c r="H460" s="10">
        <v>2023.0</v>
      </c>
      <c r="I460" s="10" t="s">
        <v>54</v>
      </c>
      <c r="J460" s="10">
        <v>7.708915504626307</v>
      </c>
      <c r="K460" s="11"/>
      <c r="L460" s="12"/>
      <c r="M460" s="9">
        <v>0.9776090083786458</v>
      </c>
    </row>
    <row r="461">
      <c r="A461" s="10" t="s">
        <v>25</v>
      </c>
      <c r="B461" s="10" t="s">
        <v>36</v>
      </c>
      <c r="C461" s="10" t="s">
        <v>36</v>
      </c>
      <c r="D461" s="10" t="s">
        <v>37</v>
      </c>
      <c r="E461" s="10" t="s">
        <v>14</v>
      </c>
      <c r="F461" s="10">
        <v>180.0</v>
      </c>
      <c r="G461" s="10" t="str">
        <f>IFERROR(VLOOKUP(C461&amp;D461&amp;E461&amp;F461,productID!$A$2:$B$7,2,FALSE))</f>
        <v/>
      </c>
      <c r="H461" s="10">
        <v>2022.0</v>
      </c>
      <c r="I461" s="10" t="s">
        <v>51</v>
      </c>
      <c r="J461" s="10">
        <v>12.941352530390821</v>
      </c>
      <c r="K461" s="11"/>
      <c r="L461" s="12"/>
      <c r="M461" s="9">
        <v>1.324271604922933</v>
      </c>
    </row>
    <row r="462">
      <c r="A462" s="10" t="s">
        <v>25</v>
      </c>
      <c r="B462" s="10" t="s">
        <v>36</v>
      </c>
      <c r="C462" s="10" t="s">
        <v>36</v>
      </c>
      <c r="D462" s="10" t="s">
        <v>37</v>
      </c>
      <c r="E462" s="10" t="s">
        <v>14</v>
      </c>
      <c r="F462" s="10">
        <v>180.0</v>
      </c>
      <c r="G462" s="10" t="str">
        <f>IFERROR(VLOOKUP(C462&amp;D462&amp;E462&amp;F462,productID!$A$2:$B$7,2,FALSE))</f>
        <v/>
      </c>
      <c r="H462" s="10">
        <v>2022.0</v>
      </c>
      <c r="I462" s="10" t="s">
        <v>52</v>
      </c>
      <c r="J462" s="10">
        <v>12.07566730590598</v>
      </c>
      <c r="K462" s="11"/>
      <c r="L462" s="12"/>
      <c r="M462" s="9">
        <v>1.2248012183101646</v>
      </c>
    </row>
    <row r="463">
      <c r="A463" s="10" t="s">
        <v>25</v>
      </c>
      <c r="B463" s="10" t="s">
        <v>36</v>
      </c>
      <c r="C463" s="10" t="s">
        <v>36</v>
      </c>
      <c r="D463" s="10" t="s">
        <v>37</v>
      </c>
      <c r="E463" s="10" t="s">
        <v>14</v>
      </c>
      <c r="F463" s="10">
        <v>180.0</v>
      </c>
      <c r="G463" s="10" t="str">
        <f>IFERROR(VLOOKUP(C463&amp;D463&amp;E463&amp;F463,productID!$A$2:$B$7,2,FALSE))</f>
        <v/>
      </c>
      <c r="H463" s="10">
        <v>2022.0</v>
      </c>
      <c r="I463" s="10" t="s">
        <v>53</v>
      </c>
      <c r="J463" s="10">
        <v>12.727226327795497</v>
      </c>
      <c r="K463" s="11"/>
      <c r="L463" s="12"/>
      <c r="M463" s="9">
        <v>1.2413425775995155</v>
      </c>
    </row>
    <row r="464">
      <c r="A464" s="10" t="s">
        <v>25</v>
      </c>
      <c r="B464" s="10" t="s">
        <v>36</v>
      </c>
      <c r="C464" s="10" t="s">
        <v>36</v>
      </c>
      <c r="D464" s="10" t="s">
        <v>37</v>
      </c>
      <c r="E464" s="10" t="s">
        <v>14</v>
      </c>
      <c r="F464" s="10">
        <v>180.0</v>
      </c>
      <c r="G464" s="10" t="str">
        <f>IFERROR(VLOOKUP(C464&amp;D464&amp;E464&amp;F464,productID!$A$2:$B$7,2,FALSE))</f>
        <v/>
      </c>
      <c r="H464" s="10">
        <v>2022.0</v>
      </c>
      <c r="I464" s="10" t="s">
        <v>54</v>
      </c>
      <c r="J464" s="10">
        <v>13.47073856744929</v>
      </c>
      <c r="K464" s="11"/>
      <c r="L464" s="12"/>
      <c r="M464" s="9">
        <v>1.296044035459765</v>
      </c>
    </row>
    <row r="465">
      <c r="A465" s="10" t="s">
        <v>25</v>
      </c>
      <c r="B465" s="10" t="s">
        <v>36</v>
      </c>
      <c r="C465" s="10" t="s">
        <v>36</v>
      </c>
      <c r="D465" s="10" t="s">
        <v>37</v>
      </c>
      <c r="E465" s="10" t="s">
        <v>14</v>
      </c>
      <c r="F465" s="10">
        <v>180.0</v>
      </c>
      <c r="G465" s="10" t="str">
        <f>IFERROR(VLOOKUP(C465&amp;D465&amp;E465&amp;F465,productID!$A$2:$B$7,2,FALSE))</f>
        <v/>
      </c>
      <c r="H465" s="10">
        <v>2023.0</v>
      </c>
      <c r="I465" s="10" t="s">
        <v>51</v>
      </c>
      <c r="J465" s="10">
        <v>16.31266833745946</v>
      </c>
      <c r="K465" s="11"/>
      <c r="L465" s="12"/>
      <c r="M465" s="9">
        <v>1.485481143186157</v>
      </c>
    </row>
    <row r="466">
      <c r="A466" s="10" t="s">
        <v>25</v>
      </c>
      <c r="B466" s="10" t="s">
        <v>36</v>
      </c>
      <c r="C466" s="10" t="s">
        <v>36</v>
      </c>
      <c r="D466" s="10" t="s">
        <v>37</v>
      </c>
      <c r="E466" s="10" t="s">
        <v>14</v>
      </c>
      <c r="F466" s="10">
        <v>180.0</v>
      </c>
      <c r="G466" s="10" t="str">
        <f>IFERROR(VLOOKUP(C466&amp;D466&amp;E466&amp;F466,productID!$A$2:$B$7,2,FALSE))</f>
        <v/>
      </c>
      <c r="H466" s="10">
        <v>2023.0</v>
      </c>
      <c r="I466" s="10" t="s">
        <v>52</v>
      </c>
      <c r="J466" s="10">
        <v>13.64188200582466</v>
      </c>
      <c r="K466" s="11"/>
      <c r="L466" s="12"/>
      <c r="M466" s="9">
        <v>1.2248483537139299</v>
      </c>
    </row>
    <row r="467">
      <c r="A467" s="10" t="s">
        <v>25</v>
      </c>
      <c r="B467" s="10" t="s">
        <v>36</v>
      </c>
      <c r="C467" s="10" t="s">
        <v>36</v>
      </c>
      <c r="D467" s="10" t="s">
        <v>37</v>
      </c>
      <c r="E467" s="10" t="s">
        <v>14</v>
      </c>
      <c r="F467" s="10">
        <v>180.0</v>
      </c>
      <c r="G467" s="10" t="str">
        <f>IFERROR(VLOOKUP(C467&amp;D467&amp;E467&amp;F467,productID!$A$2:$B$7,2,FALSE))</f>
        <v/>
      </c>
      <c r="H467" s="10">
        <v>2023.0</v>
      </c>
      <c r="I467" s="10" t="s">
        <v>53</v>
      </c>
      <c r="J467" s="10">
        <v>11.21836102235037</v>
      </c>
      <c r="K467" s="11"/>
      <c r="L467" s="12"/>
      <c r="M467" s="9">
        <v>1.0691770093635098</v>
      </c>
    </row>
    <row r="468">
      <c r="A468" s="10" t="s">
        <v>25</v>
      </c>
      <c r="B468" s="10" t="s">
        <v>36</v>
      </c>
      <c r="C468" s="10" t="s">
        <v>36</v>
      </c>
      <c r="D468" s="10" t="s">
        <v>37</v>
      </c>
      <c r="E468" s="10" t="s">
        <v>14</v>
      </c>
      <c r="F468" s="10">
        <v>180.0</v>
      </c>
      <c r="G468" s="10" t="str">
        <f>IFERROR(VLOOKUP(C468&amp;D468&amp;E468&amp;F468,productID!$A$2:$B$7,2,FALSE))</f>
        <v/>
      </c>
      <c r="H468" s="10">
        <v>2023.0</v>
      </c>
      <c r="I468" s="10" t="s">
        <v>54</v>
      </c>
      <c r="J468" s="10">
        <v>13.01672019437632</v>
      </c>
      <c r="K468" s="11"/>
      <c r="L468" s="12"/>
      <c r="M468" s="9">
        <v>1.3248510510810694</v>
      </c>
    </row>
    <row r="469">
      <c r="A469" s="10" t="s">
        <v>26</v>
      </c>
      <c r="B469" s="10" t="s">
        <v>36</v>
      </c>
      <c r="C469" s="10" t="s">
        <v>36</v>
      </c>
      <c r="D469" s="10" t="s">
        <v>37</v>
      </c>
      <c r="E469" s="10" t="s">
        <v>14</v>
      </c>
      <c r="F469" s="10">
        <v>180.0</v>
      </c>
      <c r="G469" s="10" t="str">
        <f>IFERROR(VLOOKUP(C469&amp;D469&amp;E469&amp;F469,productID!$A$2:$B$7,2,FALSE))</f>
        <v/>
      </c>
      <c r="H469" s="10">
        <v>2022.0</v>
      </c>
      <c r="I469" s="10" t="s">
        <v>51</v>
      </c>
      <c r="J469" s="10">
        <v>38.651053149121246</v>
      </c>
      <c r="K469" s="11"/>
      <c r="L469" s="12"/>
      <c r="M469" s="9">
        <v>1.8710791500343629</v>
      </c>
    </row>
    <row r="470">
      <c r="A470" s="10" t="s">
        <v>26</v>
      </c>
      <c r="B470" s="10" t="s">
        <v>36</v>
      </c>
      <c r="C470" s="10" t="s">
        <v>36</v>
      </c>
      <c r="D470" s="10" t="s">
        <v>37</v>
      </c>
      <c r="E470" s="10" t="s">
        <v>14</v>
      </c>
      <c r="F470" s="10">
        <v>180.0</v>
      </c>
      <c r="G470" s="10" t="str">
        <f>IFERROR(VLOOKUP(C470&amp;D470&amp;E470&amp;F470,productID!$A$2:$B$7,2,FALSE))</f>
        <v/>
      </c>
      <c r="H470" s="10">
        <v>2022.0</v>
      </c>
      <c r="I470" s="10" t="s">
        <v>52</v>
      </c>
      <c r="J470" s="10">
        <v>40.427563254598276</v>
      </c>
      <c r="K470" s="11"/>
      <c r="L470" s="12"/>
      <c r="M470" s="9">
        <v>1.9251473936557306</v>
      </c>
    </row>
    <row r="471">
      <c r="A471" s="10" t="s">
        <v>26</v>
      </c>
      <c r="B471" s="10" t="s">
        <v>36</v>
      </c>
      <c r="C471" s="10" t="s">
        <v>36</v>
      </c>
      <c r="D471" s="10" t="s">
        <v>37</v>
      </c>
      <c r="E471" s="10" t="s">
        <v>14</v>
      </c>
      <c r="F471" s="10">
        <v>180.0</v>
      </c>
      <c r="G471" s="10" t="str">
        <f>IFERROR(VLOOKUP(C471&amp;D471&amp;E471&amp;F471,productID!$A$2:$B$7,2,FALSE))</f>
        <v/>
      </c>
      <c r="H471" s="10">
        <v>2022.0</v>
      </c>
      <c r="I471" s="10" t="s">
        <v>53</v>
      </c>
      <c r="J471" s="10">
        <v>41.0153314677491</v>
      </c>
      <c r="K471" s="11"/>
      <c r="L471" s="12"/>
      <c r="M471" s="9">
        <v>1.9582522595880878</v>
      </c>
    </row>
    <row r="472">
      <c r="A472" s="10" t="s">
        <v>26</v>
      </c>
      <c r="B472" s="10" t="s">
        <v>36</v>
      </c>
      <c r="C472" s="10" t="s">
        <v>36</v>
      </c>
      <c r="D472" s="10" t="s">
        <v>37</v>
      </c>
      <c r="E472" s="10" t="s">
        <v>14</v>
      </c>
      <c r="F472" s="10">
        <v>180.0</v>
      </c>
      <c r="G472" s="10" t="str">
        <f>IFERROR(VLOOKUP(C472&amp;D472&amp;E472&amp;F472,productID!$A$2:$B$7,2,FALSE))</f>
        <v/>
      </c>
      <c r="H472" s="10">
        <v>2022.0</v>
      </c>
      <c r="I472" s="10" t="s">
        <v>54</v>
      </c>
      <c r="J472" s="10">
        <v>39.548359547521216</v>
      </c>
      <c r="K472" s="11"/>
      <c r="L472" s="12"/>
      <c r="M472" s="9">
        <v>1.8525342682078327</v>
      </c>
    </row>
    <row r="473">
      <c r="A473" s="10" t="s">
        <v>26</v>
      </c>
      <c r="B473" s="10" t="s">
        <v>36</v>
      </c>
      <c r="C473" s="10" t="s">
        <v>36</v>
      </c>
      <c r="D473" s="10" t="s">
        <v>37</v>
      </c>
      <c r="E473" s="10" t="s">
        <v>14</v>
      </c>
      <c r="F473" s="10">
        <v>180.0</v>
      </c>
      <c r="G473" s="10" t="str">
        <f>IFERROR(VLOOKUP(C473&amp;D473&amp;E473&amp;F473,productID!$A$2:$B$7,2,FALSE))</f>
        <v/>
      </c>
      <c r="H473" s="10">
        <v>2023.0</v>
      </c>
      <c r="I473" s="10" t="s">
        <v>51</v>
      </c>
      <c r="J473" s="10">
        <v>45.7576866337599</v>
      </c>
      <c r="K473" s="11"/>
      <c r="L473" s="12"/>
      <c r="M473" s="9">
        <v>2.1222108560762076</v>
      </c>
    </row>
    <row r="474">
      <c r="A474" s="10" t="s">
        <v>26</v>
      </c>
      <c r="B474" s="10" t="s">
        <v>36</v>
      </c>
      <c r="C474" s="10" t="s">
        <v>36</v>
      </c>
      <c r="D474" s="10" t="s">
        <v>37</v>
      </c>
      <c r="E474" s="10" t="s">
        <v>14</v>
      </c>
      <c r="F474" s="10">
        <v>180.0</v>
      </c>
      <c r="G474" s="10" t="str">
        <f>IFERROR(VLOOKUP(C474&amp;D474&amp;E474&amp;F474,productID!$A$2:$B$7,2,FALSE))</f>
        <v/>
      </c>
      <c r="H474" s="10">
        <v>2023.0</v>
      </c>
      <c r="I474" s="10" t="s">
        <v>52</v>
      </c>
      <c r="J474" s="10">
        <v>44.239152389892695</v>
      </c>
      <c r="K474" s="11"/>
      <c r="L474" s="12"/>
      <c r="M474" s="9">
        <v>1.9853519279740273</v>
      </c>
    </row>
    <row r="475">
      <c r="A475" s="10" t="s">
        <v>26</v>
      </c>
      <c r="B475" s="10" t="s">
        <v>36</v>
      </c>
      <c r="C475" s="10" t="s">
        <v>36</v>
      </c>
      <c r="D475" s="10" t="s">
        <v>37</v>
      </c>
      <c r="E475" s="10" t="s">
        <v>14</v>
      </c>
      <c r="F475" s="10">
        <v>180.0</v>
      </c>
      <c r="G475" s="10" t="str">
        <f>IFERROR(VLOOKUP(C475&amp;D475&amp;E475&amp;F475,productID!$A$2:$B$7,2,FALSE))</f>
        <v/>
      </c>
      <c r="H475" s="10">
        <v>2023.0</v>
      </c>
      <c r="I475" s="10" t="s">
        <v>53</v>
      </c>
      <c r="J475" s="10">
        <v>40.55256320603847</v>
      </c>
      <c r="K475" s="11"/>
      <c r="L475" s="12"/>
      <c r="M475" s="9">
        <v>1.8608239002883042</v>
      </c>
    </row>
    <row r="476">
      <c r="A476" s="10" t="s">
        <v>26</v>
      </c>
      <c r="B476" s="10" t="s">
        <v>36</v>
      </c>
      <c r="C476" s="10" t="s">
        <v>36</v>
      </c>
      <c r="D476" s="10" t="s">
        <v>37</v>
      </c>
      <c r="E476" s="10" t="s">
        <v>14</v>
      </c>
      <c r="F476" s="10">
        <v>180.0</v>
      </c>
      <c r="G476" s="10" t="str">
        <f>IFERROR(VLOOKUP(C476&amp;D476&amp;E476&amp;F476,productID!$A$2:$B$7,2,FALSE))</f>
        <v/>
      </c>
      <c r="H476" s="10">
        <v>2023.0</v>
      </c>
      <c r="I476" s="10" t="s">
        <v>54</v>
      </c>
      <c r="J476" s="10">
        <v>48.5104689448831</v>
      </c>
      <c r="K476" s="11"/>
      <c r="L476" s="12"/>
      <c r="M476" s="9">
        <v>2.306968946101665</v>
      </c>
    </row>
    <row r="477">
      <c r="A477" s="10" t="s">
        <v>10</v>
      </c>
      <c r="B477" s="10" t="s">
        <v>36</v>
      </c>
      <c r="C477" s="10" t="s">
        <v>36</v>
      </c>
      <c r="D477" s="10" t="s">
        <v>13</v>
      </c>
      <c r="E477" s="10" t="s">
        <v>14</v>
      </c>
      <c r="F477" s="10">
        <v>180.0</v>
      </c>
      <c r="G477" s="10" t="str">
        <f>IFERROR(VLOOKUP(C477&amp;D477&amp;E477&amp;F477,productID!$A$2:$B$7,2,FALSE))</f>
        <v/>
      </c>
      <c r="H477" s="10">
        <v>2022.0</v>
      </c>
      <c r="I477" s="10" t="s">
        <v>51</v>
      </c>
      <c r="J477" s="10">
        <v>64.14680900189643</v>
      </c>
      <c r="K477" s="11"/>
      <c r="L477" s="12"/>
      <c r="M477" s="9">
        <v>5.621699214507088</v>
      </c>
    </row>
    <row r="478">
      <c r="A478" s="10" t="s">
        <v>10</v>
      </c>
      <c r="B478" s="10" t="s">
        <v>36</v>
      </c>
      <c r="C478" s="10" t="s">
        <v>36</v>
      </c>
      <c r="D478" s="10" t="s">
        <v>13</v>
      </c>
      <c r="E478" s="10" t="s">
        <v>14</v>
      </c>
      <c r="F478" s="10">
        <v>180.0</v>
      </c>
      <c r="G478" s="10" t="str">
        <f>IFERROR(VLOOKUP(C478&amp;D478&amp;E478&amp;F478,productID!$A$2:$B$7,2,FALSE))</f>
        <v/>
      </c>
      <c r="H478" s="10">
        <v>2022.0</v>
      </c>
      <c r="I478" s="10" t="s">
        <v>52</v>
      </c>
      <c r="J478" s="10">
        <v>59.97478795451559</v>
      </c>
      <c r="K478" s="11"/>
      <c r="L478" s="12"/>
      <c r="M478" s="9">
        <v>5.23435829983153</v>
      </c>
    </row>
    <row r="479">
      <c r="A479" s="10" t="s">
        <v>10</v>
      </c>
      <c r="B479" s="10" t="s">
        <v>36</v>
      </c>
      <c r="C479" s="10" t="s">
        <v>36</v>
      </c>
      <c r="D479" s="10" t="s">
        <v>13</v>
      </c>
      <c r="E479" s="10" t="s">
        <v>14</v>
      </c>
      <c r="F479" s="10">
        <v>180.0</v>
      </c>
      <c r="G479" s="10" t="str">
        <f>IFERROR(VLOOKUP(C479&amp;D479&amp;E479&amp;F479,productID!$A$2:$B$7,2,FALSE))</f>
        <v/>
      </c>
      <c r="H479" s="10">
        <v>2022.0</v>
      </c>
      <c r="I479" s="10" t="s">
        <v>53</v>
      </c>
      <c r="J479" s="10">
        <v>57.96218740117476</v>
      </c>
      <c r="K479" s="11"/>
      <c r="L479" s="12"/>
      <c r="M479" s="9">
        <v>5.066554726780812</v>
      </c>
    </row>
    <row r="480">
      <c r="A480" s="10" t="s">
        <v>10</v>
      </c>
      <c r="B480" s="10" t="s">
        <v>36</v>
      </c>
      <c r="C480" s="10" t="s">
        <v>36</v>
      </c>
      <c r="D480" s="10" t="s">
        <v>13</v>
      </c>
      <c r="E480" s="10" t="s">
        <v>14</v>
      </c>
      <c r="F480" s="10">
        <v>180.0</v>
      </c>
      <c r="G480" s="10" t="str">
        <f>IFERROR(VLOOKUP(C480&amp;D480&amp;E480&amp;F480,productID!$A$2:$B$7,2,FALSE))</f>
        <v/>
      </c>
      <c r="H480" s="10">
        <v>2022.0</v>
      </c>
      <c r="I480" s="10" t="s">
        <v>54</v>
      </c>
      <c r="J480" s="10">
        <v>55.69004613472333</v>
      </c>
      <c r="K480" s="11"/>
      <c r="L480" s="12"/>
      <c r="M480" s="9">
        <v>5.043207162993403</v>
      </c>
    </row>
    <row r="481">
      <c r="A481" s="10" t="s">
        <v>10</v>
      </c>
      <c r="B481" s="10" t="s">
        <v>36</v>
      </c>
      <c r="C481" s="10" t="s">
        <v>36</v>
      </c>
      <c r="D481" s="10" t="s">
        <v>13</v>
      </c>
      <c r="E481" s="10" t="s">
        <v>14</v>
      </c>
      <c r="F481" s="10">
        <v>180.0</v>
      </c>
      <c r="G481" s="10" t="str">
        <f>IFERROR(VLOOKUP(C481&amp;D481&amp;E481&amp;F481,productID!$A$2:$B$7,2,FALSE))</f>
        <v/>
      </c>
      <c r="H481" s="10">
        <v>2023.0</v>
      </c>
      <c r="I481" s="10" t="s">
        <v>51</v>
      </c>
      <c r="J481" s="10">
        <v>67.21439164794896</v>
      </c>
      <c r="K481" s="11"/>
      <c r="L481" s="12"/>
      <c r="M481" s="9">
        <v>5.69926653114384</v>
      </c>
    </row>
    <row r="482">
      <c r="A482" s="10" t="s">
        <v>10</v>
      </c>
      <c r="B482" s="10" t="s">
        <v>36</v>
      </c>
      <c r="C482" s="10" t="s">
        <v>36</v>
      </c>
      <c r="D482" s="10" t="s">
        <v>13</v>
      </c>
      <c r="E482" s="10" t="s">
        <v>14</v>
      </c>
      <c r="F482" s="10">
        <v>180.0</v>
      </c>
      <c r="G482" s="10" t="str">
        <f>IFERROR(VLOOKUP(C482&amp;D482&amp;E482&amp;F482,productID!$A$2:$B$7,2,FALSE))</f>
        <v/>
      </c>
      <c r="H482" s="10">
        <v>2023.0</v>
      </c>
      <c r="I482" s="10" t="s">
        <v>52</v>
      </c>
      <c r="J482" s="10">
        <v>72.06068380111265</v>
      </c>
      <c r="K482" s="11"/>
      <c r="L482" s="12"/>
      <c r="M482" s="9">
        <v>5.694811370903649</v>
      </c>
    </row>
    <row r="483">
      <c r="A483" s="10" t="s">
        <v>10</v>
      </c>
      <c r="B483" s="10" t="s">
        <v>36</v>
      </c>
      <c r="C483" s="10" t="s">
        <v>36</v>
      </c>
      <c r="D483" s="10" t="s">
        <v>13</v>
      </c>
      <c r="E483" s="10" t="s">
        <v>14</v>
      </c>
      <c r="F483" s="10">
        <v>180.0</v>
      </c>
      <c r="G483" s="10" t="str">
        <f>IFERROR(VLOOKUP(C483&amp;D483&amp;E483&amp;F483,productID!$A$2:$B$7,2,FALSE))</f>
        <v/>
      </c>
      <c r="H483" s="10">
        <v>2023.0</v>
      </c>
      <c r="I483" s="10" t="s">
        <v>53</v>
      </c>
      <c r="J483" s="10">
        <v>66.44719798910279</v>
      </c>
      <c r="K483" s="11"/>
      <c r="L483" s="12"/>
      <c r="M483" s="9">
        <v>5.382493047552052</v>
      </c>
    </row>
    <row r="484">
      <c r="A484" s="10" t="s">
        <v>10</v>
      </c>
      <c r="B484" s="10" t="s">
        <v>36</v>
      </c>
      <c r="C484" s="10" t="s">
        <v>36</v>
      </c>
      <c r="D484" s="10" t="s">
        <v>13</v>
      </c>
      <c r="E484" s="10" t="s">
        <v>14</v>
      </c>
      <c r="F484" s="10">
        <v>180.0</v>
      </c>
      <c r="G484" s="10" t="str">
        <f>IFERROR(VLOOKUP(C484&amp;D484&amp;E484&amp;F484,productID!$A$2:$B$7,2,FALSE))</f>
        <v/>
      </c>
      <c r="H484" s="10">
        <v>2023.0</v>
      </c>
      <c r="I484" s="10" t="s">
        <v>54</v>
      </c>
      <c r="J484" s="10">
        <v>63.198260629836625</v>
      </c>
      <c r="K484" s="11"/>
      <c r="L484" s="12"/>
      <c r="M484" s="9">
        <v>5.437936668040352</v>
      </c>
    </row>
    <row r="485">
      <c r="A485" s="10" t="s">
        <v>24</v>
      </c>
      <c r="B485" s="10" t="s">
        <v>36</v>
      </c>
      <c r="C485" s="10" t="s">
        <v>36</v>
      </c>
      <c r="D485" s="10" t="s">
        <v>13</v>
      </c>
      <c r="E485" s="10" t="s">
        <v>14</v>
      </c>
      <c r="F485" s="10">
        <v>180.0</v>
      </c>
      <c r="G485" s="10" t="str">
        <f>IFERROR(VLOOKUP(C485&amp;D485&amp;E485&amp;F485,productID!$A$2:$B$7,2,FALSE))</f>
        <v/>
      </c>
      <c r="H485" s="10">
        <v>2022.0</v>
      </c>
      <c r="I485" s="10" t="s">
        <v>51</v>
      </c>
      <c r="J485" s="10">
        <v>75.43054308344324</v>
      </c>
      <c r="K485" s="11"/>
      <c r="L485" s="12"/>
      <c r="M485" s="9">
        <v>8.424399372028018</v>
      </c>
    </row>
    <row r="486">
      <c r="A486" s="10" t="s">
        <v>24</v>
      </c>
      <c r="B486" s="10" t="s">
        <v>36</v>
      </c>
      <c r="C486" s="10" t="s">
        <v>36</v>
      </c>
      <c r="D486" s="10" t="s">
        <v>13</v>
      </c>
      <c r="E486" s="10" t="s">
        <v>14</v>
      </c>
      <c r="F486" s="10">
        <v>180.0</v>
      </c>
      <c r="G486" s="10" t="str">
        <f>IFERROR(VLOOKUP(C486&amp;D486&amp;E486&amp;F486,productID!$A$2:$B$7,2,FALSE))</f>
        <v/>
      </c>
      <c r="H486" s="10">
        <v>2022.0</v>
      </c>
      <c r="I486" s="10" t="s">
        <v>52</v>
      </c>
      <c r="J486" s="10">
        <v>67.10375028363649</v>
      </c>
      <c r="K486" s="11"/>
      <c r="L486" s="12"/>
      <c r="M486" s="9">
        <v>7.163900259683823</v>
      </c>
    </row>
    <row r="487">
      <c r="A487" s="10" t="s">
        <v>24</v>
      </c>
      <c r="B487" s="10" t="s">
        <v>36</v>
      </c>
      <c r="C487" s="10" t="s">
        <v>36</v>
      </c>
      <c r="D487" s="10" t="s">
        <v>13</v>
      </c>
      <c r="E487" s="10" t="s">
        <v>14</v>
      </c>
      <c r="F487" s="10">
        <v>180.0</v>
      </c>
      <c r="G487" s="10" t="str">
        <f>IFERROR(VLOOKUP(C487&amp;D487&amp;E487&amp;F487,productID!$A$2:$B$7,2,FALSE))</f>
        <v/>
      </c>
      <c r="H487" s="10">
        <v>2022.0</v>
      </c>
      <c r="I487" s="10" t="s">
        <v>53</v>
      </c>
      <c r="J487" s="10">
        <v>56.2836674028287</v>
      </c>
      <c r="K487" s="11"/>
      <c r="L487" s="12"/>
      <c r="M487" s="9">
        <v>5.848391776089243</v>
      </c>
    </row>
    <row r="488">
      <c r="A488" s="10" t="s">
        <v>24</v>
      </c>
      <c r="B488" s="10" t="s">
        <v>36</v>
      </c>
      <c r="C488" s="10" t="s">
        <v>36</v>
      </c>
      <c r="D488" s="10" t="s">
        <v>13</v>
      </c>
      <c r="E488" s="10" t="s">
        <v>14</v>
      </c>
      <c r="F488" s="10">
        <v>180.0</v>
      </c>
      <c r="G488" s="10" t="str">
        <f>IFERROR(VLOOKUP(C488&amp;D488&amp;E488&amp;F488,productID!$A$2:$B$7,2,FALSE))</f>
        <v/>
      </c>
      <c r="H488" s="10">
        <v>2022.0</v>
      </c>
      <c r="I488" s="10" t="s">
        <v>54</v>
      </c>
      <c r="J488" s="10">
        <v>46.425193214835865</v>
      </c>
      <c r="K488" s="11"/>
      <c r="L488" s="12"/>
      <c r="M488" s="9">
        <v>4.9838917165425025</v>
      </c>
    </row>
    <row r="489">
      <c r="A489" s="10" t="s">
        <v>24</v>
      </c>
      <c r="B489" s="10" t="s">
        <v>36</v>
      </c>
      <c r="C489" s="10" t="s">
        <v>36</v>
      </c>
      <c r="D489" s="10" t="s">
        <v>13</v>
      </c>
      <c r="E489" s="10" t="s">
        <v>14</v>
      </c>
      <c r="F489" s="10">
        <v>180.0</v>
      </c>
      <c r="G489" s="10" t="str">
        <f>IFERROR(VLOOKUP(C489&amp;D489&amp;E489&amp;F489,productID!$A$2:$B$7,2,FALSE))</f>
        <v/>
      </c>
      <c r="H489" s="10">
        <v>2023.0</v>
      </c>
      <c r="I489" s="10" t="s">
        <v>51</v>
      </c>
      <c r="J489" s="10">
        <v>57.186574934686526</v>
      </c>
      <c r="K489" s="11"/>
      <c r="L489" s="12"/>
      <c r="M489" s="9">
        <v>5.9802209340654615</v>
      </c>
    </row>
    <row r="490">
      <c r="A490" s="10" t="s">
        <v>24</v>
      </c>
      <c r="B490" s="10" t="s">
        <v>36</v>
      </c>
      <c r="C490" s="10" t="s">
        <v>36</v>
      </c>
      <c r="D490" s="10" t="s">
        <v>13</v>
      </c>
      <c r="E490" s="10" t="s">
        <v>14</v>
      </c>
      <c r="F490" s="10">
        <v>180.0</v>
      </c>
      <c r="G490" s="10" t="str">
        <f>IFERROR(VLOOKUP(C490&amp;D490&amp;E490&amp;F490,productID!$A$2:$B$7,2,FALSE))</f>
        <v/>
      </c>
      <c r="H490" s="10">
        <v>2023.0</v>
      </c>
      <c r="I490" s="10" t="s">
        <v>52</v>
      </c>
      <c r="J490" s="10">
        <v>54.593254659309665</v>
      </c>
      <c r="K490" s="11"/>
      <c r="L490" s="12"/>
      <c r="M490" s="9">
        <v>5.634179688738848</v>
      </c>
    </row>
    <row r="491">
      <c r="A491" s="10" t="s">
        <v>24</v>
      </c>
      <c r="B491" s="10" t="s">
        <v>36</v>
      </c>
      <c r="C491" s="10" t="s">
        <v>36</v>
      </c>
      <c r="D491" s="10" t="s">
        <v>13</v>
      </c>
      <c r="E491" s="10" t="s">
        <v>14</v>
      </c>
      <c r="F491" s="10">
        <v>180.0</v>
      </c>
      <c r="G491" s="10" t="str">
        <f>IFERROR(VLOOKUP(C491&amp;D491&amp;E491&amp;F491,productID!$A$2:$B$7,2,FALSE))</f>
        <v/>
      </c>
      <c r="H491" s="10">
        <v>2023.0</v>
      </c>
      <c r="I491" s="10" t="s">
        <v>53</v>
      </c>
      <c r="J491" s="10">
        <v>47.66692136288697</v>
      </c>
      <c r="K491" s="11"/>
      <c r="L491" s="12"/>
      <c r="M491" s="9">
        <v>5.236086772551634</v>
      </c>
    </row>
    <row r="492">
      <c r="A492" s="10" t="s">
        <v>24</v>
      </c>
      <c r="B492" s="10" t="s">
        <v>36</v>
      </c>
      <c r="C492" s="10" t="s">
        <v>36</v>
      </c>
      <c r="D492" s="10" t="s">
        <v>13</v>
      </c>
      <c r="E492" s="10" t="s">
        <v>14</v>
      </c>
      <c r="F492" s="10">
        <v>180.0</v>
      </c>
      <c r="G492" s="10" t="str">
        <f>IFERROR(VLOOKUP(C492&amp;D492&amp;E492&amp;F492,productID!$A$2:$B$7,2,FALSE))</f>
        <v/>
      </c>
      <c r="H492" s="10">
        <v>2023.0</v>
      </c>
      <c r="I492" s="10" t="s">
        <v>54</v>
      </c>
      <c r="J492" s="10">
        <v>43.142282545040885</v>
      </c>
      <c r="K492" s="11"/>
      <c r="L492" s="12"/>
      <c r="M492" s="9">
        <v>5.471104727083566</v>
      </c>
    </row>
    <row r="493">
      <c r="A493" s="10" t="s">
        <v>25</v>
      </c>
      <c r="B493" s="10" t="s">
        <v>36</v>
      </c>
      <c r="C493" s="10" t="s">
        <v>36</v>
      </c>
      <c r="D493" s="10" t="s">
        <v>13</v>
      </c>
      <c r="E493" s="10" t="s">
        <v>14</v>
      </c>
      <c r="F493" s="10">
        <v>180.0</v>
      </c>
      <c r="G493" s="10" t="str">
        <f>IFERROR(VLOOKUP(C493&amp;D493&amp;E493&amp;F493,productID!$A$2:$B$7,2,FALSE))</f>
        <v/>
      </c>
      <c r="H493" s="10">
        <v>2022.0</v>
      </c>
      <c r="I493" s="10" t="s">
        <v>51</v>
      </c>
      <c r="J493" s="10">
        <v>66.62367758330153</v>
      </c>
      <c r="K493" s="11"/>
      <c r="L493" s="12"/>
      <c r="M493" s="9">
        <v>6.817513411516835</v>
      </c>
    </row>
    <row r="494">
      <c r="A494" s="10" t="s">
        <v>25</v>
      </c>
      <c r="B494" s="10" t="s">
        <v>36</v>
      </c>
      <c r="C494" s="10" t="s">
        <v>36</v>
      </c>
      <c r="D494" s="10" t="s">
        <v>13</v>
      </c>
      <c r="E494" s="10" t="s">
        <v>14</v>
      </c>
      <c r="F494" s="10">
        <v>180.0</v>
      </c>
      <c r="G494" s="10" t="str">
        <f>IFERROR(VLOOKUP(C494&amp;D494&amp;E494&amp;F494,productID!$A$2:$B$7,2,FALSE))</f>
        <v/>
      </c>
      <c r="H494" s="10">
        <v>2022.0</v>
      </c>
      <c r="I494" s="10" t="s">
        <v>52</v>
      </c>
      <c r="J494" s="10">
        <v>59.03135074314015</v>
      </c>
      <c r="K494" s="11"/>
      <c r="L494" s="12"/>
      <c r="M494" s="9">
        <v>5.987385084162704</v>
      </c>
    </row>
    <row r="495">
      <c r="A495" s="10" t="s">
        <v>25</v>
      </c>
      <c r="B495" s="10" t="s">
        <v>36</v>
      </c>
      <c r="C495" s="10" t="s">
        <v>36</v>
      </c>
      <c r="D495" s="10" t="s">
        <v>13</v>
      </c>
      <c r="E495" s="10" t="s">
        <v>14</v>
      </c>
      <c r="F495" s="10">
        <v>180.0</v>
      </c>
      <c r="G495" s="10" t="str">
        <f>IFERROR(VLOOKUP(C495&amp;D495&amp;E495&amp;F495,productID!$A$2:$B$7,2,FALSE))</f>
        <v/>
      </c>
      <c r="H495" s="10">
        <v>2022.0</v>
      </c>
      <c r="I495" s="10" t="s">
        <v>53</v>
      </c>
      <c r="J495" s="10">
        <v>52.769315255600105</v>
      </c>
      <c r="K495" s="11"/>
      <c r="L495" s="12"/>
      <c r="M495" s="9">
        <v>5.146824306446844</v>
      </c>
    </row>
    <row r="496">
      <c r="A496" s="10" t="s">
        <v>25</v>
      </c>
      <c r="B496" s="10" t="s">
        <v>36</v>
      </c>
      <c r="C496" s="10" t="s">
        <v>36</v>
      </c>
      <c r="D496" s="10" t="s">
        <v>13</v>
      </c>
      <c r="E496" s="10" t="s">
        <v>14</v>
      </c>
      <c r="F496" s="10">
        <v>180.0</v>
      </c>
      <c r="G496" s="10" t="str">
        <f>IFERROR(VLOOKUP(C496&amp;D496&amp;E496&amp;F496,productID!$A$2:$B$7,2,FALSE))</f>
        <v/>
      </c>
      <c r="H496" s="10">
        <v>2022.0</v>
      </c>
      <c r="I496" s="10" t="s">
        <v>54</v>
      </c>
      <c r="J496" s="10">
        <v>47.00500781973587</v>
      </c>
      <c r="K496" s="11"/>
      <c r="L496" s="12"/>
      <c r="M496" s="9">
        <v>4.522436517973619</v>
      </c>
    </row>
    <row r="497">
      <c r="A497" s="10" t="s">
        <v>25</v>
      </c>
      <c r="B497" s="10" t="s">
        <v>36</v>
      </c>
      <c r="C497" s="10" t="s">
        <v>36</v>
      </c>
      <c r="D497" s="10" t="s">
        <v>13</v>
      </c>
      <c r="E497" s="10" t="s">
        <v>14</v>
      </c>
      <c r="F497" s="10">
        <v>180.0</v>
      </c>
      <c r="G497" s="10" t="str">
        <f>IFERROR(VLOOKUP(C497&amp;D497&amp;E497&amp;F497,productID!$A$2:$B$7,2,FALSE))</f>
        <v/>
      </c>
      <c r="H497" s="10">
        <v>2023.0</v>
      </c>
      <c r="I497" s="10" t="s">
        <v>51</v>
      </c>
      <c r="J497" s="10">
        <v>62.301816379097154</v>
      </c>
      <c r="K497" s="11"/>
      <c r="L497" s="12"/>
      <c r="M497" s="9">
        <v>5.673392697188176</v>
      </c>
    </row>
    <row r="498">
      <c r="A498" s="10" t="s">
        <v>25</v>
      </c>
      <c r="B498" s="10" t="s">
        <v>36</v>
      </c>
      <c r="C498" s="10" t="s">
        <v>36</v>
      </c>
      <c r="D498" s="10" t="s">
        <v>13</v>
      </c>
      <c r="E498" s="10" t="s">
        <v>14</v>
      </c>
      <c r="F498" s="10">
        <v>180.0</v>
      </c>
      <c r="G498" s="10" t="str">
        <f>IFERROR(VLOOKUP(C498&amp;D498&amp;E498&amp;F498,productID!$A$2:$B$7,2,FALSE))</f>
        <v/>
      </c>
      <c r="H498" s="10">
        <v>2023.0</v>
      </c>
      <c r="I498" s="10" t="s">
        <v>52</v>
      </c>
      <c r="J498" s="10">
        <v>58.932421013887954</v>
      </c>
      <c r="K498" s="11"/>
      <c r="L498" s="12"/>
      <c r="M498" s="9">
        <v>5.291299164471356</v>
      </c>
    </row>
    <row r="499">
      <c r="A499" s="10" t="s">
        <v>25</v>
      </c>
      <c r="B499" s="10" t="s">
        <v>36</v>
      </c>
      <c r="C499" s="10" t="s">
        <v>36</v>
      </c>
      <c r="D499" s="10" t="s">
        <v>13</v>
      </c>
      <c r="E499" s="10" t="s">
        <v>14</v>
      </c>
      <c r="F499" s="10">
        <v>180.0</v>
      </c>
      <c r="G499" s="10" t="str">
        <f>IFERROR(VLOOKUP(C499&amp;D499&amp;E499&amp;F499,productID!$A$2:$B$7,2,FALSE))</f>
        <v/>
      </c>
      <c r="H499" s="10">
        <v>2023.0</v>
      </c>
      <c r="I499" s="10" t="s">
        <v>53</v>
      </c>
      <c r="J499" s="10">
        <v>44.511467599654395</v>
      </c>
      <c r="K499" s="11"/>
      <c r="L499" s="12"/>
      <c r="M499" s="9">
        <v>4.2422095095499515</v>
      </c>
    </row>
    <row r="500">
      <c r="A500" s="10" t="s">
        <v>25</v>
      </c>
      <c r="B500" s="10" t="s">
        <v>36</v>
      </c>
      <c r="C500" s="10" t="s">
        <v>36</v>
      </c>
      <c r="D500" s="10" t="s">
        <v>13</v>
      </c>
      <c r="E500" s="10" t="s">
        <v>14</v>
      </c>
      <c r="F500" s="10">
        <v>180.0</v>
      </c>
      <c r="G500" s="10" t="str">
        <f>IFERROR(VLOOKUP(C500&amp;D500&amp;E500&amp;F500,productID!$A$2:$B$7,2,FALSE))</f>
        <v/>
      </c>
      <c r="H500" s="10">
        <v>2023.0</v>
      </c>
      <c r="I500" s="10" t="s">
        <v>54</v>
      </c>
      <c r="J500" s="10">
        <v>45.6850613198312</v>
      </c>
      <c r="K500" s="11"/>
      <c r="L500" s="12"/>
      <c r="M500" s="9">
        <v>4.649858075187849</v>
      </c>
    </row>
    <row r="501">
      <c r="A501" s="10" t="s">
        <v>26</v>
      </c>
      <c r="B501" s="10" t="s">
        <v>36</v>
      </c>
      <c r="C501" s="10" t="s">
        <v>36</v>
      </c>
      <c r="D501" s="10" t="s">
        <v>13</v>
      </c>
      <c r="E501" s="10" t="s">
        <v>14</v>
      </c>
      <c r="F501" s="10">
        <v>180.0</v>
      </c>
      <c r="G501" s="10" t="str">
        <f>IFERROR(VLOOKUP(C501&amp;D501&amp;E501&amp;F501,productID!$A$2:$B$7,2,FALSE))</f>
        <v/>
      </c>
      <c r="H501" s="10">
        <v>2022.0</v>
      </c>
      <c r="I501" s="10" t="s">
        <v>51</v>
      </c>
      <c r="J501" s="10">
        <v>84.77612557687132</v>
      </c>
      <c r="K501" s="11"/>
      <c r="L501" s="12"/>
      <c r="M501" s="9">
        <v>4.103972028280559</v>
      </c>
    </row>
    <row r="502">
      <c r="A502" s="10" t="s">
        <v>26</v>
      </c>
      <c r="B502" s="10" t="s">
        <v>36</v>
      </c>
      <c r="C502" s="10" t="s">
        <v>36</v>
      </c>
      <c r="D502" s="10" t="s">
        <v>13</v>
      </c>
      <c r="E502" s="10" t="s">
        <v>14</v>
      </c>
      <c r="F502" s="10">
        <v>180.0</v>
      </c>
      <c r="G502" s="10" t="str">
        <f>IFERROR(VLOOKUP(C502&amp;D502&amp;E502&amp;F502,productID!$A$2:$B$7,2,FALSE))</f>
        <v/>
      </c>
      <c r="H502" s="10">
        <v>2022.0</v>
      </c>
      <c r="I502" s="10" t="s">
        <v>52</v>
      </c>
      <c r="J502" s="10">
        <v>82.10272608882235</v>
      </c>
      <c r="K502" s="11"/>
      <c r="L502" s="12"/>
      <c r="M502" s="9">
        <v>3.9097050729108385</v>
      </c>
    </row>
    <row r="503">
      <c r="A503" s="10" t="s">
        <v>26</v>
      </c>
      <c r="B503" s="10" t="s">
        <v>36</v>
      </c>
      <c r="C503" s="10" t="s">
        <v>36</v>
      </c>
      <c r="D503" s="10" t="s">
        <v>13</v>
      </c>
      <c r="E503" s="10" t="s">
        <v>14</v>
      </c>
      <c r="F503" s="10">
        <v>180.0</v>
      </c>
      <c r="G503" s="10" t="str">
        <f>IFERROR(VLOOKUP(C503&amp;D503&amp;E503&amp;F503,productID!$A$2:$B$7,2,FALSE))</f>
        <v/>
      </c>
      <c r="H503" s="10">
        <v>2022.0</v>
      </c>
      <c r="I503" s="10" t="s">
        <v>53</v>
      </c>
      <c r="J503" s="10">
        <v>80.40312339091494</v>
      </c>
      <c r="K503" s="11"/>
      <c r="L503" s="12"/>
      <c r="M503" s="9">
        <v>3.838798625387283</v>
      </c>
    </row>
    <row r="504">
      <c r="A504" s="10" t="s">
        <v>26</v>
      </c>
      <c r="B504" s="10" t="s">
        <v>36</v>
      </c>
      <c r="C504" s="10" t="s">
        <v>36</v>
      </c>
      <c r="D504" s="10" t="s">
        <v>13</v>
      </c>
      <c r="E504" s="10" t="s">
        <v>14</v>
      </c>
      <c r="F504" s="10">
        <v>180.0</v>
      </c>
      <c r="G504" s="10" t="str">
        <f>IFERROR(VLOOKUP(C504&amp;D504&amp;E504&amp;F504,productID!$A$2:$B$7,2,FALSE))</f>
        <v/>
      </c>
      <c r="H504" s="10">
        <v>2022.0</v>
      </c>
      <c r="I504" s="10" t="s">
        <v>54</v>
      </c>
      <c r="J504" s="10">
        <v>69.42157258095881</v>
      </c>
      <c r="K504" s="11"/>
      <c r="L504" s="12"/>
      <c r="M504" s="9">
        <v>3.251862874478295</v>
      </c>
    </row>
    <row r="505">
      <c r="A505" s="10" t="s">
        <v>26</v>
      </c>
      <c r="B505" s="10" t="s">
        <v>36</v>
      </c>
      <c r="C505" s="10" t="s">
        <v>36</v>
      </c>
      <c r="D505" s="10" t="s">
        <v>13</v>
      </c>
      <c r="E505" s="10" t="s">
        <v>14</v>
      </c>
      <c r="F505" s="10">
        <v>180.0</v>
      </c>
      <c r="G505" s="10" t="str">
        <f>IFERROR(VLOOKUP(C505&amp;D505&amp;E505&amp;F505,productID!$A$2:$B$7,2,FALSE))</f>
        <v/>
      </c>
      <c r="H505" s="10">
        <v>2023.0</v>
      </c>
      <c r="I505" s="10" t="s">
        <v>51</v>
      </c>
      <c r="J505" s="10">
        <v>76.46971928032028</v>
      </c>
      <c r="K505" s="11"/>
      <c r="L505" s="12"/>
      <c r="M505" s="9">
        <v>3.5466143582980525</v>
      </c>
    </row>
    <row r="506">
      <c r="A506" s="10" t="s">
        <v>26</v>
      </c>
      <c r="B506" s="10" t="s">
        <v>36</v>
      </c>
      <c r="C506" s="10" t="s">
        <v>36</v>
      </c>
      <c r="D506" s="10" t="s">
        <v>13</v>
      </c>
      <c r="E506" s="10" t="s">
        <v>14</v>
      </c>
      <c r="F506" s="10">
        <v>180.0</v>
      </c>
      <c r="G506" s="10" t="str">
        <f>IFERROR(VLOOKUP(C506&amp;D506&amp;E506&amp;F506,productID!$A$2:$B$7,2,FALSE))</f>
        <v/>
      </c>
      <c r="H506" s="10">
        <v>2023.0</v>
      </c>
      <c r="I506" s="10" t="s">
        <v>52</v>
      </c>
      <c r="J506" s="10">
        <v>79.20323734978962</v>
      </c>
      <c r="K506" s="11"/>
      <c r="L506" s="12"/>
      <c r="M506" s="9">
        <v>3.5544600535817525</v>
      </c>
    </row>
    <row r="507">
      <c r="A507" s="10" t="s">
        <v>26</v>
      </c>
      <c r="B507" s="10" t="s">
        <v>36</v>
      </c>
      <c r="C507" s="10" t="s">
        <v>36</v>
      </c>
      <c r="D507" s="10" t="s">
        <v>13</v>
      </c>
      <c r="E507" s="10" t="s">
        <v>14</v>
      </c>
      <c r="F507" s="10">
        <v>180.0</v>
      </c>
      <c r="G507" s="10" t="str">
        <f>IFERROR(VLOOKUP(C507&amp;D507&amp;E507&amp;F507,productID!$A$2:$B$7,2,FALSE))</f>
        <v/>
      </c>
      <c r="H507" s="10">
        <v>2023.0</v>
      </c>
      <c r="I507" s="10" t="s">
        <v>53</v>
      </c>
      <c r="J507" s="10">
        <v>67.34752940589972</v>
      </c>
      <c r="K507" s="11"/>
      <c r="L507" s="12"/>
      <c r="M507" s="9">
        <v>3.0903568710844533</v>
      </c>
    </row>
    <row r="508">
      <c r="A508" s="10" t="s">
        <v>26</v>
      </c>
      <c r="B508" s="10" t="s">
        <v>36</v>
      </c>
      <c r="C508" s="10" t="s">
        <v>36</v>
      </c>
      <c r="D508" s="10" t="s">
        <v>13</v>
      </c>
      <c r="E508" s="10" t="s">
        <v>14</v>
      </c>
      <c r="F508" s="10">
        <v>180.0</v>
      </c>
      <c r="G508" s="10" t="str">
        <f>IFERROR(VLOOKUP(C508&amp;D508&amp;E508&amp;F508,productID!$A$2:$B$7,2,FALSE))</f>
        <v/>
      </c>
      <c r="H508" s="10">
        <v>2023.0</v>
      </c>
      <c r="I508" s="10" t="s">
        <v>54</v>
      </c>
      <c r="J508" s="10">
        <v>66.97084861540338</v>
      </c>
      <c r="K508" s="11"/>
      <c r="L508" s="12"/>
      <c r="M508" s="9">
        <v>3.1848726967647254</v>
      </c>
    </row>
    <row r="509">
      <c r="A509" s="10" t="s">
        <v>10</v>
      </c>
      <c r="B509" s="10" t="s">
        <v>38</v>
      </c>
      <c r="C509" s="10" t="s">
        <v>39</v>
      </c>
      <c r="D509" s="10" t="s">
        <v>13</v>
      </c>
      <c r="E509" s="10" t="s">
        <v>14</v>
      </c>
      <c r="F509" s="10">
        <v>110.0</v>
      </c>
      <c r="G509" s="10" t="str">
        <f>IFERROR(VLOOKUP(C509&amp;D509&amp;E509&amp;F509,productID!$A$2:$B$7,2,FALSE))</f>
        <v>SmSwC110</v>
      </c>
      <c r="H509" s="10">
        <v>2022.0</v>
      </c>
      <c r="I509" s="10" t="s">
        <v>51</v>
      </c>
      <c r="J509" s="10">
        <v>6.237637396687077</v>
      </c>
      <c r="K509" s="11">
        <v>4.288233633703155</v>
      </c>
      <c r="L509" s="12">
        <v>3.573528028085962</v>
      </c>
      <c r="M509" s="9">
        <v>0.5466541796693127</v>
      </c>
    </row>
    <row r="510">
      <c r="A510" s="10" t="s">
        <v>10</v>
      </c>
      <c r="B510" s="10" t="s">
        <v>38</v>
      </c>
      <c r="C510" s="10" t="s">
        <v>39</v>
      </c>
      <c r="D510" s="10" t="s">
        <v>13</v>
      </c>
      <c r="E510" s="10" t="s">
        <v>14</v>
      </c>
      <c r="F510" s="10">
        <v>110.0</v>
      </c>
      <c r="G510" s="10" t="str">
        <f>IFERROR(VLOOKUP(C510&amp;D510&amp;E510&amp;F510,productID!$A$2:$B$7,2,FALSE))</f>
        <v>SmSwC110</v>
      </c>
      <c r="H510" s="10">
        <v>2022.0</v>
      </c>
      <c r="I510" s="10" t="s">
        <v>52</v>
      </c>
      <c r="J510" s="10">
        <v>4.590015517353109</v>
      </c>
      <c r="K510" s="11">
        <v>3.3211793666536047</v>
      </c>
      <c r="L510" s="12">
        <v>2.767649472211337</v>
      </c>
      <c r="M510" s="9">
        <v>0.4005980952835336</v>
      </c>
    </row>
    <row r="511">
      <c r="A511" s="10" t="s">
        <v>10</v>
      </c>
      <c r="B511" s="10" t="s">
        <v>38</v>
      </c>
      <c r="C511" s="10" t="s">
        <v>39</v>
      </c>
      <c r="D511" s="10" t="s">
        <v>13</v>
      </c>
      <c r="E511" s="10" t="s">
        <v>14</v>
      </c>
      <c r="F511" s="10">
        <v>110.0</v>
      </c>
      <c r="G511" s="10" t="str">
        <f>IFERROR(VLOOKUP(C511&amp;D511&amp;E511&amp;F511,productID!$A$2:$B$7,2,FALSE))</f>
        <v>SmSwC110</v>
      </c>
      <c r="H511" s="10">
        <v>2022.0</v>
      </c>
      <c r="I511" s="10" t="s">
        <v>53</v>
      </c>
      <c r="J511" s="10">
        <v>5.703660139165748</v>
      </c>
      <c r="K511" s="11">
        <v>4.038773580593188</v>
      </c>
      <c r="L511" s="12">
        <v>3.365644650494323</v>
      </c>
      <c r="M511" s="9">
        <v>0.49856479773666784</v>
      </c>
    </row>
    <row r="512">
      <c r="A512" s="10" t="s">
        <v>10</v>
      </c>
      <c r="B512" s="10" t="s">
        <v>38</v>
      </c>
      <c r="C512" s="10" t="s">
        <v>39</v>
      </c>
      <c r="D512" s="10" t="s">
        <v>13</v>
      </c>
      <c r="E512" s="10" t="s">
        <v>14</v>
      </c>
      <c r="F512" s="10">
        <v>110.0</v>
      </c>
      <c r="G512" s="10" t="str">
        <f>IFERROR(VLOOKUP(C512&amp;D512&amp;E512&amp;F512,productID!$A$2:$B$7,2,FALSE))</f>
        <v>SmSwC110</v>
      </c>
      <c r="H512" s="10">
        <v>2022.0</v>
      </c>
      <c r="I512" s="10" t="s">
        <v>54</v>
      </c>
      <c r="J512" s="10">
        <v>7.086340731411497</v>
      </c>
      <c r="K512" s="11">
        <v>4.953184690631497</v>
      </c>
      <c r="L512" s="12">
        <v>4.127653908859581</v>
      </c>
      <c r="M512" s="9">
        <v>0.6417284024080457</v>
      </c>
    </row>
    <row r="513">
      <c r="A513" s="10" t="s">
        <v>10</v>
      </c>
      <c r="B513" s="10" t="s">
        <v>38</v>
      </c>
      <c r="C513" s="10" t="s">
        <v>39</v>
      </c>
      <c r="D513" s="10" t="s">
        <v>13</v>
      </c>
      <c r="E513" s="10" t="s">
        <v>14</v>
      </c>
      <c r="F513" s="10">
        <v>110.0</v>
      </c>
      <c r="G513" s="10" t="str">
        <f>IFERROR(VLOOKUP(C513&amp;D513&amp;E513&amp;F513,productID!$A$2:$B$7,2,FALSE))</f>
        <v>SmSwC110</v>
      </c>
      <c r="H513" s="10">
        <v>2023.0</v>
      </c>
      <c r="I513" s="10" t="s">
        <v>51</v>
      </c>
      <c r="J513" s="10">
        <v>6.6973497425623805</v>
      </c>
      <c r="K513" s="11">
        <v>4.65457545410034</v>
      </c>
      <c r="L513" s="12">
        <v>3.8788128784169498</v>
      </c>
      <c r="M513" s="9">
        <v>0.5678840542822252</v>
      </c>
    </row>
    <row r="514">
      <c r="A514" s="10" t="s">
        <v>10</v>
      </c>
      <c r="B514" s="10" t="s">
        <v>38</v>
      </c>
      <c r="C514" s="10" t="s">
        <v>39</v>
      </c>
      <c r="D514" s="10" t="s">
        <v>13</v>
      </c>
      <c r="E514" s="10" t="s">
        <v>14</v>
      </c>
      <c r="F514" s="10">
        <v>110.0</v>
      </c>
      <c r="G514" s="10" t="str">
        <f>IFERROR(VLOOKUP(C514&amp;D514&amp;E514&amp;F514,productID!$A$2:$B$7,2,FALSE))</f>
        <v>SmSwC110</v>
      </c>
      <c r="H514" s="10">
        <v>2023.0</v>
      </c>
      <c r="I514" s="10" t="s">
        <v>52</v>
      </c>
      <c r="J514" s="10">
        <v>5.346775389158864</v>
      </c>
      <c r="K514" s="11">
        <v>3.9566976755158776</v>
      </c>
      <c r="L514" s="12">
        <v>3.297248062929898</v>
      </c>
      <c r="M514" s="9">
        <v>0.42254493959408607</v>
      </c>
    </row>
    <row r="515">
      <c r="A515" s="10" t="s">
        <v>10</v>
      </c>
      <c r="B515" s="10" t="s">
        <v>38</v>
      </c>
      <c r="C515" s="10" t="s">
        <v>39</v>
      </c>
      <c r="D515" s="10" t="s">
        <v>13</v>
      </c>
      <c r="E515" s="10" t="s">
        <v>14</v>
      </c>
      <c r="F515" s="10">
        <v>110.0</v>
      </c>
      <c r="G515" s="10" t="str">
        <f>IFERROR(VLOOKUP(C515&amp;D515&amp;E515&amp;F515,productID!$A$2:$B$7,2,FALSE))</f>
        <v>SmSwC110</v>
      </c>
      <c r="H515" s="10">
        <v>2023.0</v>
      </c>
      <c r="I515" s="10" t="s">
        <v>53</v>
      </c>
      <c r="J515" s="10">
        <v>6.970528884564402</v>
      </c>
      <c r="K515" s="11">
        <v>5.12465952976748</v>
      </c>
      <c r="L515" s="12">
        <v>4.270549608139566</v>
      </c>
      <c r="M515" s="9">
        <v>0.5646411646294199</v>
      </c>
    </row>
    <row r="516">
      <c r="A516" s="10" t="s">
        <v>10</v>
      </c>
      <c r="B516" s="10" t="s">
        <v>38</v>
      </c>
      <c r="C516" s="10" t="s">
        <v>39</v>
      </c>
      <c r="D516" s="10" t="s">
        <v>13</v>
      </c>
      <c r="E516" s="10" t="s">
        <v>14</v>
      </c>
      <c r="F516" s="10">
        <v>110.0</v>
      </c>
      <c r="G516" s="10" t="str">
        <f>IFERROR(VLOOKUP(C516&amp;D516&amp;E516&amp;F516,productID!$A$2:$B$7,2,FALSE))</f>
        <v>SmSwC110</v>
      </c>
      <c r="H516" s="10">
        <v>2023.0</v>
      </c>
      <c r="I516" s="10" t="s">
        <v>54</v>
      </c>
      <c r="J516" s="10">
        <v>6.062008075801273</v>
      </c>
      <c r="K516" s="11">
        <v>4.391042792216476</v>
      </c>
      <c r="L516" s="12">
        <v>3.6592023268470637</v>
      </c>
      <c r="M516" s="9">
        <v>0.5216095454024792</v>
      </c>
    </row>
    <row r="517">
      <c r="A517" s="10" t="s">
        <v>24</v>
      </c>
      <c r="B517" s="10" t="s">
        <v>38</v>
      </c>
      <c r="C517" s="10" t="s">
        <v>39</v>
      </c>
      <c r="D517" s="10" t="s">
        <v>13</v>
      </c>
      <c r="E517" s="10" t="s">
        <v>14</v>
      </c>
      <c r="F517" s="10">
        <v>110.0</v>
      </c>
      <c r="G517" s="10" t="str">
        <f>IFERROR(VLOOKUP(C517&amp;D517&amp;E517&amp;F517,productID!$A$2:$B$7,2,FALSE))</f>
        <v>SmSwC110</v>
      </c>
      <c r="H517" s="10">
        <v>2022.0</v>
      </c>
      <c r="I517" s="10" t="s">
        <v>51</v>
      </c>
      <c r="J517" s="10">
        <v>14.372304268161182</v>
      </c>
      <c r="K517" s="11">
        <v>10.524981112425174</v>
      </c>
      <c r="L517" s="12">
        <v>8.770817593687646</v>
      </c>
      <c r="M517" s="9">
        <v>1.6051592113999893</v>
      </c>
    </row>
    <row r="518">
      <c r="A518" s="10" t="s">
        <v>24</v>
      </c>
      <c r="B518" s="10" t="s">
        <v>38</v>
      </c>
      <c r="C518" s="10" t="s">
        <v>39</v>
      </c>
      <c r="D518" s="10" t="s">
        <v>13</v>
      </c>
      <c r="E518" s="10" t="s">
        <v>14</v>
      </c>
      <c r="F518" s="10">
        <v>110.0</v>
      </c>
      <c r="G518" s="10" t="str">
        <f>IFERROR(VLOOKUP(C518&amp;D518&amp;E518&amp;F518,productID!$A$2:$B$7,2,FALSE))</f>
        <v>SmSwC110</v>
      </c>
      <c r="H518" s="10">
        <v>2022.0</v>
      </c>
      <c r="I518" s="10" t="s">
        <v>52</v>
      </c>
      <c r="J518" s="10">
        <v>10.879993752240638</v>
      </c>
      <c r="K518" s="11">
        <v>6.735636620657027</v>
      </c>
      <c r="L518" s="12">
        <v>5.613030517214189</v>
      </c>
      <c r="M518" s="9">
        <v>1.1615325482939785</v>
      </c>
    </row>
    <row r="519">
      <c r="A519" s="10" t="s">
        <v>24</v>
      </c>
      <c r="B519" s="10" t="s">
        <v>38</v>
      </c>
      <c r="C519" s="10" t="s">
        <v>39</v>
      </c>
      <c r="D519" s="10" t="s">
        <v>13</v>
      </c>
      <c r="E519" s="10" t="s">
        <v>14</v>
      </c>
      <c r="F519" s="10">
        <v>110.0</v>
      </c>
      <c r="G519" s="10" t="str">
        <f>IFERROR(VLOOKUP(C519&amp;D519&amp;E519&amp;F519,productID!$A$2:$B$7,2,FALSE))</f>
        <v>SmSwC110</v>
      </c>
      <c r="H519" s="10">
        <v>2022.0</v>
      </c>
      <c r="I519" s="10" t="s">
        <v>53</v>
      </c>
      <c r="J519" s="10">
        <v>13.888152694507188</v>
      </c>
      <c r="K519" s="11">
        <v>8.44106262388147</v>
      </c>
      <c r="L519" s="12">
        <v>7.034218853234558</v>
      </c>
      <c r="M519" s="9">
        <v>1.4431070637650982</v>
      </c>
    </row>
    <row r="520">
      <c r="A520" s="10" t="s">
        <v>24</v>
      </c>
      <c r="B520" s="10" t="s">
        <v>38</v>
      </c>
      <c r="C520" s="10" t="s">
        <v>39</v>
      </c>
      <c r="D520" s="10" t="s">
        <v>13</v>
      </c>
      <c r="E520" s="10" t="s">
        <v>14</v>
      </c>
      <c r="F520" s="10">
        <v>110.0</v>
      </c>
      <c r="G520" s="10" t="str">
        <f>IFERROR(VLOOKUP(C520&amp;D520&amp;E520&amp;F520,productID!$A$2:$B$7,2,FALSE))</f>
        <v>SmSwC110</v>
      </c>
      <c r="H520" s="10">
        <v>2022.0</v>
      </c>
      <c r="I520" s="10" t="s">
        <v>54</v>
      </c>
      <c r="J520" s="10">
        <v>15.62520572503208</v>
      </c>
      <c r="K520" s="11">
        <v>9.859780005125053</v>
      </c>
      <c r="L520" s="12">
        <v>8.21648333760421</v>
      </c>
      <c r="M520" s="9">
        <v>1.6774153856913614</v>
      </c>
    </row>
    <row r="521">
      <c r="A521" s="10" t="s">
        <v>24</v>
      </c>
      <c r="B521" s="10" t="s">
        <v>38</v>
      </c>
      <c r="C521" s="10" t="s">
        <v>39</v>
      </c>
      <c r="D521" s="10" t="s">
        <v>13</v>
      </c>
      <c r="E521" s="10" t="s">
        <v>14</v>
      </c>
      <c r="F521" s="10">
        <v>110.0</v>
      </c>
      <c r="G521" s="10" t="str">
        <f>IFERROR(VLOOKUP(C521&amp;D521&amp;E521&amp;F521,productID!$A$2:$B$7,2,FALSE))</f>
        <v>SmSwC110</v>
      </c>
      <c r="H521" s="10">
        <v>2023.0</v>
      </c>
      <c r="I521" s="10" t="s">
        <v>51</v>
      </c>
      <c r="J521" s="10">
        <v>16.63660557364736</v>
      </c>
      <c r="K521" s="11">
        <v>11.29036353974798</v>
      </c>
      <c r="L521" s="12">
        <v>9.408636283123316</v>
      </c>
      <c r="M521" s="9">
        <v>1.7397540775425955</v>
      </c>
    </row>
    <row r="522">
      <c r="A522" s="10" t="s">
        <v>24</v>
      </c>
      <c r="B522" s="10" t="s">
        <v>38</v>
      </c>
      <c r="C522" s="10" t="s">
        <v>39</v>
      </c>
      <c r="D522" s="10" t="s">
        <v>13</v>
      </c>
      <c r="E522" s="10" t="s">
        <v>14</v>
      </c>
      <c r="F522" s="10">
        <v>110.0</v>
      </c>
      <c r="G522" s="10" t="str">
        <f>IFERROR(VLOOKUP(C522&amp;D522&amp;E522&amp;F522,productID!$A$2:$B$7,2,FALSE))</f>
        <v>SmSwC110</v>
      </c>
      <c r="H522" s="10">
        <v>2023.0</v>
      </c>
      <c r="I522" s="10" t="s">
        <v>52</v>
      </c>
      <c r="J522" s="10">
        <v>16.67773087040527</v>
      </c>
      <c r="K522" s="11">
        <v>10.613029200039458</v>
      </c>
      <c r="L522" s="12">
        <v>8.84419100003288</v>
      </c>
      <c r="M522" s="9">
        <v>1.7211894236876486</v>
      </c>
    </row>
    <row r="523">
      <c r="A523" s="10" t="s">
        <v>24</v>
      </c>
      <c r="B523" s="10" t="s">
        <v>38</v>
      </c>
      <c r="C523" s="10" t="s">
        <v>39</v>
      </c>
      <c r="D523" s="10" t="s">
        <v>13</v>
      </c>
      <c r="E523" s="10" t="s">
        <v>14</v>
      </c>
      <c r="F523" s="10">
        <v>110.0</v>
      </c>
      <c r="G523" s="10" t="str">
        <f>IFERROR(VLOOKUP(C523&amp;D523&amp;E523&amp;F523,productID!$A$2:$B$7,2,FALSE))</f>
        <v>SmSwC110</v>
      </c>
      <c r="H523" s="10">
        <v>2023.0</v>
      </c>
      <c r="I523" s="10" t="s">
        <v>53</v>
      </c>
      <c r="J523" s="10">
        <v>15.019083041415065</v>
      </c>
      <c r="K523" s="11">
        <v>10.008468556716224</v>
      </c>
      <c r="L523" s="12">
        <v>8.340390463930186</v>
      </c>
      <c r="M523" s="9">
        <v>1.6498070318054423</v>
      </c>
    </row>
    <row r="524">
      <c r="A524" s="10" t="s">
        <v>24</v>
      </c>
      <c r="B524" s="10" t="s">
        <v>38</v>
      </c>
      <c r="C524" s="10" t="s">
        <v>39</v>
      </c>
      <c r="D524" s="10" t="s">
        <v>13</v>
      </c>
      <c r="E524" s="10" t="s">
        <v>14</v>
      </c>
      <c r="F524" s="10">
        <v>110.0</v>
      </c>
      <c r="G524" s="10" t="str">
        <f>IFERROR(VLOOKUP(C524&amp;D524&amp;E524&amp;F524,productID!$A$2:$B$7,2,FALSE))</f>
        <v>SmSwC110</v>
      </c>
      <c r="H524" s="10">
        <v>2023.0</v>
      </c>
      <c r="I524" s="10" t="s">
        <v>54</v>
      </c>
      <c r="J524" s="10">
        <v>14.607855391707492</v>
      </c>
      <c r="K524" s="11">
        <v>9.390849584026805</v>
      </c>
      <c r="L524" s="12">
        <v>7.825707986689005</v>
      </c>
      <c r="M524" s="9">
        <v>1.852500655306908</v>
      </c>
    </row>
    <row r="525">
      <c r="A525" s="10" t="s">
        <v>25</v>
      </c>
      <c r="B525" s="10" t="s">
        <v>38</v>
      </c>
      <c r="C525" s="10" t="s">
        <v>39</v>
      </c>
      <c r="D525" s="10" t="s">
        <v>13</v>
      </c>
      <c r="E525" s="10" t="s">
        <v>14</v>
      </c>
      <c r="F525" s="10">
        <v>110.0</v>
      </c>
      <c r="G525" s="10" t="str">
        <f>IFERROR(VLOOKUP(C525&amp;D525&amp;E525&amp;F525,productID!$A$2:$B$7,2,FALSE))</f>
        <v>SmSwC110</v>
      </c>
      <c r="H525" s="10">
        <v>2022.0</v>
      </c>
      <c r="I525" s="10" t="s">
        <v>51</v>
      </c>
      <c r="J525" s="10">
        <v>26.170089560647863</v>
      </c>
      <c r="K525" s="11">
        <v>17.2512519373974</v>
      </c>
      <c r="L525" s="12">
        <v>14.376043281164499</v>
      </c>
      <c r="M525" s="9">
        <v>2.6779508882144207</v>
      </c>
    </row>
    <row r="526">
      <c r="A526" s="10" t="s">
        <v>25</v>
      </c>
      <c r="B526" s="10" t="s">
        <v>38</v>
      </c>
      <c r="C526" s="10" t="s">
        <v>39</v>
      </c>
      <c r="D526" s="10" t="s">
        <v>13</v>
      </c>
      <c r="E526" s="10" t="s">
        <v>14</v>
      </c>
      <c r="F526" s="10">
        <v>110.0</v>
      </c>
      <c r="G526" s="10" t="str">
        <f>IFERROR(VLOOKUP(C526&amp;D526&amp;E526&amp;F526,productID!$A$2:$B$7,2,FALSE))</f>
        <v>SmSwC110</v>
      </c>
      <c r="H526" s="10">
        <v>2022.0</v>
      </c>
      <c r="I526" s="10" t="s">
        <v>52</v>
      </c>
      <c r="J526" s="10">
        <v>26.863527445341912</v>
      </c>
      <c r="K526" s="11">
        <v>18.65565045925735</v>
      </c>
      <c r="L526" s="12">
        <v>15.546375382714459</v>
      </c>
      <c r="M526" s="9">
        <v>2.7246925829988156</v>
      </c>
    </row>
    <row r="527">
      <c r="A527" s="10" t="s">
        <v>25</v>
      </c>
      <c r="B527" s="10" t="s">
        <v>38</v>
      </c>
      <c r="C527" s="10" t="s">
        <v>39</v>
      </c>
      <c r="D527" s="10" t="s">
        <v>13</v>
      </c>
      <c r="E527" s="10" t="s">
        <v>14</v>
      </c>
      <c r="F527" s="10">
        <v>110.0</v>
      </c>
      <c r="G527" s="10" t="str">
        <f>IFERROR(VLOOKUP(C527&amp;D527&amp;E527&amp;F527,productID!$A$2:$B$7,2,FALSE))</f>
        <v>SmSwC110</v>
      </c>
      <c r="H527" s="10">
        <v>2022.0</v>
      </c>
      <c r="I527" s="10" t="s">
        <v>53</v>
      </c>
      <c r="J527" s="10">
        <v>26.478296011836505</v>
      </c>
      <c r="K527" s="11">
        <v>19.404569285207472</v>
      </c>
      <c r="L527" s="12">
        <v>16.170474404339558</v>
      </c>
      <c r="M527" s="9">
        <v>2.5825451182551045</v>
      </c>
    </row>
    <row r="528">
      <c r="A528" s="10" t="s">
        <v>25</v>
      </c>
      <c r="B528" s="10" t="s">
        <v>38</v>
      </c>
      <c r="C528" s="10" t="s">
        <v>39</v>
      </c>
      <c r="D528" s="10" t="s">
        <v>13</v>
      </c>
      <c r="E528" s="10" t="s">
        <v>14</v>
      </c>
      <c r="F528" s="10">
        <v>110.0</v>
      </c>
      <c r="G528" s="10" t="str">
        <f>IFERROR(VLOOKUP(C528&amp;D528&amp;E528&amp;F528,productID!$A$2:$B$7,2,FALSE))</f>
        <v>SmSwC110</v>
      </c>
      <c r="H528" s="10">
        <v>2022.0</v>
      </c>
      <c r="I528" s="10" t="s">
        <v>54</v>
      </c>
      <c r="J528" s="10">
        <v>27.19189360064357</v>
      </c>
      <c r="K528" s="11">
        <v>19.39672676344283</v>
      </c>
      <c r="L528" s="12">
        <v>16.163938969535696</v>
      </c>
      <c r="M528" s="9">
        <v>2.616181090406521</v>
      </c>
    </row>
    <row r="529">
      <c r="A529" s="10" t="s">
        <v>25</v>
      </c>
      <c r="B529" s="10" t="s">
        <v>38</v>
      </c>
      <c r="C529" s="10" t="s">
        <v>39</v>
      </c>
      <c r="D529" s="10" t="s">
        <v>13</v>
      </c>
      <c r="E529" s="10" t="s">
        <v>14</v>
      </c>
      <c r="F529" s="10">
        <v>110.0</v>
      </c>
      <c r="G529" s="10" t="str">
        <f>IFERROR(VLOOKUP(C529&amp;D529&amp;E529&amp;F529,productID!$A$2:$B$7,2,FALSE))</f>
        <v>SmSwC110</v>
      </c>
      <c r="H529" s="10">
        <v>2023.0</v>
      </c>
      <c r="I529" s="10" t="s">
        <v>51</v>
      </c>
      <c r="J529" s="10">
        <v>27.42496616826472</v>
      </c>
      <c r="K529" s="11">
        <v>17.562490724072358</v>
      </c>
      <c r="L529" s="12">
        <v>14.635408936726964</v>
      </c>
      <c r="M529" s="9">
        <v>2.4974007472415947</v>
      </c>
    </row>
    <row r="530">
      <c r="A530" s="10" t="s">
        <v>25</v>
      </c>
      <c r="B530" s="10" t="s">
        <v>38</v>
      </c>
      <c r="C530" s="10" t="s">
        <v>39</v>
      </c>
      <c r="D530" s="10" t="s">
        <v>13</v>
      </c>
      <c r="E530" s="10" t="s">
        <v>14</v>
      </c>
      <c r="F530" s="10">
        <v>110.0</v>
      </c>
      <c r="G530" s="10" t="str">
        <f>IFERROR(VLOOKUP(C530&amp;D530&amp;E530&amp;F530,productID!$A$2:$B$7,2,FALSE))</f>
        <v>SmSwC110</v>
      </c>
      <c r="H530" s="10">
        <v>2023.0</v>
      </c>
      <c r="I530" s="10" t="s">
        <v>52</v>
      </c>
      <c r="J530" s="10">
        <v>30.146086515082846</v>
      </c>
      <c r="K530" s="11">
        <v>21.700191420495088</v>
      </c>
      <c r="L530" s="12">
        <v>18.083492850412576</v>
      </c>
      <c r="M530" s="9">
        <v>2.706692846569949</v>
      </c>
    </row>
    <row r="531">
      <c r="A531" s="10" t="s">
        <v>25</v>
      </c>
      <c r="B531" s="10" t="s">
        <v>38</v>
      </c>
      <c r="C531" s="10" t="s">
        <v>39</v>
      </c>
      <c r="D531" s="10" t="s">
        <v>13</v>
      </c>
      <c r="E531" s="10" t="s">
        <v>14</v>
      </c>
      <c r="F531" s="10">
        <v>110.0</v>
      </c>
      <c r="G531" s="10" t="str">
        <f>IFERROR(VLOOKUP(C531&amp;D531&amp;E531&amp;F531,productID!$A$2:$B$7,2,FALSE))</f>
        <v>SmSwC110</v>
      </c>
      <c r="H531" s="10">
        <v>2023.0</v>
      </c>
      <c r="I531" s="10" t="s">
        <v>53</v>
      </c>
      <c r="J531" s="10">
        <v>31.915783672505686</v>
      </c>
      <c r="K531" s="11">
        <v>23.424359407036793</v>
      </c>
      <c r="L531" s="12">
        <v>19.520299505863992</v>
      </c>
      <c r="M531" s="9">
        <v>3.0417653764643324</v>
      </c>
    </row>
    <row r="532">
      <c r="A532" s="10" t="s">
        <v>25</v>
      </c>
      <c r="B532" s="10" t="s">
        <v>38</v>
      </c>
      <c r="C532" s="10" t="s">
        <v>39</v>
      </c>
      <c r="D532" s="10" t="s">
        <v>13</v>
      </c>
      <c r="E532" s="10" t="s">
        <v>14</v>
      </c>
      <c r="F532" s="10">
        <v>110.0</v>
      </c>
      <c r="G532" s="10" t="str">
        <f>IFERROR(VLOOKUP(C532&amp;D532&amp;E532&amp;F532,productID!$A$2:$B$7,2,FALSE))</f>
        <v>SmSwC110</v>
      </c>
      <c r="H532" s="10">
        <v>2023.0</v>
      </c>
      <c r="I532" s="10" t="s">
        <v>54</v>
      </c>
      <c r="J532" s="10">
        <v>33.91981109543675</v>
      </c>
      <c r="K532" s="11">
        <v>24.579535187749308</v>
      </c>
      <c r="L532" s="12">
        <v>20.48294598979109</v>
      </c>
      <c r="M532" s="9">
        <v>3.4523825288705052</v>
      </c>
    </row>
    <row r="533">
      <c r="A533" s="10" t="s">
        <v>26</v>
      </c>
      <c r="B533" s="10" t="s">
        <v>38</v>
      </c>
      <c r="C533" s="10" t="s">
        <v>39</v>
      </c>
      <c r="D533" s="10" t="s">
        <v>13</v>
      </c>
      <c r="E533" s="10" t="s">
        <v>14</v>
      </c>
      <c r="F533" s="10">
        <v>110.0</v>
      </c>
      <c r="G533" s="10" t="str">
        <f>IFERROR(VLOOKUP(C533&amp;D533&amp;E533&amp;F533,productID!$A$2:$B$7,2,FALSE))</f>
        <v>SmSwC110</v>
      </c>
      <c r="H533" s="10">
        <v>2022.0</v>
      </c>
      <c r="I533" s="10" t="s">
        <v>51</v>
      </c>
      <c r="J533" s="10">
        <v>19.477482568786023</v>
      </c>
      <c r="K533" s="11">
        <v>12.852486697418888</v>
      </c>
      <c r="L533" s="12">
        <v>10.710405581182407</v>
      </c>
      <c r="M533" s="9">
        <v>0.942895692622074</v>
      </c>
    </row>
    <row r="534">
      <c r="A534" s="10" t="s">
        <v>26</v>
      </c>
      <c r="B534" s="10" t="s">
        <v>38</v>
      </c>
      <c r="C534" s="10" t="s">
        <v>39</v>
      </c>
      <c r="D534" s="10" t="s">
        <v>13</v>
      </c>
      <c r="E534" s="10" t="s">
        <v>14</v>
      </c>
      <c r="F534" s="10">
        <v>110.0</v>
      </c>
      <c r="G534" s="10" t="str">
        <f>IFERROR(VLOOKUP(C534&amp;D534&amp;E534&amp;F534,productID!$A$2:$B$7,2,FALSE))</f>
        <v>SmSwC110</v>
      </c>
      <c r="H534" s="10">
        <v>2022.0</v>
      </c>
      <c r="I534" s="10" t="s">
        <v>52</v>
      </c>
      <c r="J534" s="10">
        <v>16.37191134688026</v>
      </c>
      <c r="K534" s="11">
        <v>10.715400986560995</v>
      </c>
      <c r="L534" s="12">
        <v>8.929500822134163</v>
      </c>
      <c r="M534" s="9">
        <v>0.7796250854922423</v>
      </c>
    </row>
    <row r="535">
      <c r="A535" s="10" t="s">
        <v>26</v>
      </c>
      <c r="B535" s="10" t="s">
        <v>38</v>
      </c>
      <c r="C535" s="10" t="s">
        <v>39</v>
      </c>
      <c r="D535" s="10" t="s">
        <v>13</v>
      </c>
      <c r="E535" s="10" t="s">
        <v>14</v>
      </c>
      <c r="F535" s="10">
        <v>110.0</v>
      </c>
      <c r="G535" s="10" t="str">
        <f>IFERROR(VLOOKUP(C535&amp;D535&amp;E535&amp;F535,productID!$A$2:$B$7,2,FALSE))</f>
        <v>SmSwC110</v>
      </c>
      <c r="H535" s="10">
        <v>2022.0</v>
      </c>
      <c r="I535" s="10" t="s">
        <v>53</v>
      </c>
      <c r="J535" s="10">
        <v>20.640346657306228</v>
      </c>
      <c r="K535" s="11">
        <v>14.92733430312507</v>
      </c>
      <c r="L535" s="12">
        <v>12.439445252604225</v>
      </c>
      <c r="M535" s="9">
        <v>0.985460900447272</v>
      </c>
    </row>
    <row r="536">
      <c r="A536" s="10" t="s">
        <v>26</v>
      </c>
      <c r="B536" s="10" t="s">
        <v>38</v>
      </c>
      <c r="C536" s="10" t="s">
        <v>39</v>
      </c>
      <c r="D536" s="10" t="s">
        <v>13</v>
      </c>
      <c r="E536" s="10" t="s">
        <v>14</v>
      </c>
      <c r="F536" s="10">
        <v>110.0</v>
      </c>
      <c r="G536" s="10" t="str">
        <f>IFERROR(VLOOKUP(C536&amp;D536&amp;E536&amp;F536,productID!$A$2:$B$7,2,FALSE))</f>
        <v>SmSwC110</v>
      </c>
      <c r="H536" s="10">
        <v>2022.0</v>
      </c>
      <c r="I536" s="10" t="s">
        <v>54</v>
      </c>
      <c r="J536" s="10">
        <v>22.95657254834857</v>
      </c>
      <c r="K536" s="11">
        <v>15.24087074364932</v>
      </c>
      <c r="L536" s="12">
        <v>12.700725619707766</v>
      </c>
      <c r="M536" s="9">
        <v>1.0753375819624982</v>
      </c>
    </row>
    <row r="537">
      <c r="A537" s="10" t="s">
        <v>26</v>
      </c>
      <c r="B537" s="10" t="s">
        <v>38</v>
      </c>
      <c r="C537" s="10" t="s">
        <v>39</v>
      </c>
      <c r="D537" s="10" t="s">
        <v>13</v>
      </c>
      <c r="E537" s="10" t="s">
        <v>14</v>
      </c>
      <c r="F537" s="10">
        <v>110.0</v>
      </c>
      <c r="G537" s="10" t="str">
        <f>IFERROR(VLOOKUP(C537&amp;D537&amp;E537&amp;F537,productID!$A$2:$B$7,2,FALSE))</f>
        <v>SmSwC110</v>
      </c>
      <c r="H537" s="10">
        <v>2023.0</v>
      </c>
      <c r="I537" s="10" t="s">
        <v>51</v>
      </c>
      <c r="J537" s="10">
        <v>25.665773385131395</v>
      </c>
      <c r="K537" s="11">
        <v>18.250437854052134</v>
      </c>
      <c r="L537" s="12">
        <v>15.208698211710113</v>
      </c>
      <c r="M537" s="9">
        <v>1.1903613778265432</v>
      </c>
    </row>
    <row r="538">
      <c r="A538" s="10" t="s">
        <v>26</v>
      </c>
      <c r="B538" s="10" t="s">
        <v>38</v>
      </c>
      <c r="C538" s="10" t="s">
        <v>39</v>
      </c>
      <c r="D538" s="10" t="s">
        <v>13</v>
      </c>
      <c r="E538" s="10" t="s">
        <v>14</v>
      </c>
      <c r="F538" s="10">
        <v>110.0</v>
      </c>
      <c r="G538" s="10" t="str">
        <f>IFERROR(VLOOKUP(C538&amp;D538&amp;E538&amp;F538,productID!$A$2:$B$7,2,FALSE))</f>
        <v>SmSwC110</v>
      </c>
      <c r="H538" s="10">
        <v>2023.0</v>
      </c>
      <c r="I538" s="10" t="s">
        <v>52</v>
      </c>
      <c r="J538" s="10">
        <v>19.957801672376903</v>
      </c>
      <c r="K538" s="11">
        <v>14.322889571929997</v>
      </c>
      <c r="L538" s="12">
        <v>11.935741309941664</v>
      </c>
      <c r="M538" s="9">
        <v>0.8956604701456591</v>
      </c>
    </row>
    <row r="539">
      <c r="A539" s="10" t="s">
        <v>26</v>
      </c>
      <c r="B539" s="10" t="s">
        <v>38</v>
      </c>
      <c r="C539" s="10" t="s">
        <v>39</v>
      </c>
      <c r="D539" s="10" t="s">
        <v>13</v>
      </c>
      <c r="E539" s="10" t="s">
        <v>14</v>
      </c>
      <c r="F539" s="10">
        <v>110.0</v>
      </c>
      <c r="G539" s="10" t="str">
        <f>IFERROR(VLOOKUP(C539&amp;D539&amp;E539&amp;F539,productID!$A$2:$B$7,2,FALSE))</f>
        <v>SmSwC110</v>
      </c>
      <c r="H539" s="10">
        <v>2023.0</v>
      </c>
      <c r="I539" s="10" t="s">
        <v>53</v>
      </c>
      <c r="J539" s="10">
        <v>24.485131881128908</v>
      </c>
      <c r="K539" s="11">
        <v>16.563156283564837</v>
      </c>
      <c r="L539" s="12">
        <v>13.80263023630403</v>
      </c>
      <c r="M539" s="9">
        <v>1.1235422622886466</v>
      </c>
    </row>
    <row r="540">
      <c r="A540" s="10" t="s">
        <v>26</v>
      </c>
      <c r="B540" s="10" t="s">
        <v>38</v>
      </c>
      <c r="C540" s="10" t="s">
        <v>39</v>
      </c>
      <c r="D540" s="10" t="s">
        <v>13</v>
      </c>
      <c r="E540" s="10" t="s">
        <v>14</v>
      </c>
      <c r="F540" s="10">
        <v>110.0</v>
      </c>
      <c r="G540" s="10" t="str">
        <f>IFERROR(VLOOKUP(C540&amp;D540&amp;E540&amp;F540,productID!$A$2:$B$7,2,FALSE))</f>
        <v>SmSwC110</v>
      </c>
      <c r="H540" s="10">
        <v>2023.0</v>
      </c>
      <c r="I540" s="10" t="s">
        <v>54</v>
      </c>
      <c r="J540" s="10">
        <v>21.573552304985125</v>
      </c>
      <c r="K540" s="11">
        <v>14.586211483724679</v>
      </c>
      <c r="L540" s="12">
        <v>12.155176236437232</v>
      </c>
      <c r="M540" s="9">
        <v>1.0259541147962947</v>
      </c>
    </row>
    <row r="541">
      <c r="A541" s="10" t="s">
        <v>10</v>
      </c>
      <c r="B541" s="10" t="s">
        <v>38</v>
      </c>
      <c r="C541" s="10" t="s">
        <v>40</v>
      </c>
      <c r="D541" s="10" t="s">
        <v>13</v>
      </c>
      <c r="E541" s="10" t="s">
        <v>14</v>
      </c>
      <c r="F541" s="10">
        <v>110.0</v>
      </c>
      <c r="G541" s="10" t="str">
        <f>IFERROR(VLOOKUP(C541&amp;D541&amp;E541&amp;F541,productID!$A$2:$B$7,2,FALSE))</f>
        <v>StSwC110</v>
      </c>
      <c r="H541" s="10">
        <v>2022.0</v>
      </c>
      <c r="I541" s="10" t="s">
        <v>51</v>
      </c>
      <c r="J541" s="10">
        <v>11.194077178152938</v>
      </c>
      <c r="K541" s="11">
        <v>7.041240759391692</v>
      </c>
      <c r="L541" s="12">
        <v>5.4368317190886355</v>
      </c>
      <c r="M541" s="9">
        <v>0.9810267394235253</v>
      </c>
    </row>
    <row r="542">
      <c r="A542" s="10" t="s">
        <v>10</v>
      </c>
      <c r="B542" s="10" t="s">
        <v>38</v>
      </c>
      <c r="C542" s="10" t="s">
        <v>40</v>
      </c>
      <c r="D542" s="10" t="s">
        <v>13</v>
      </c>
      <c r="E542" s="10" t="s">
        <v>14</v>
      </c>
      <c r="F542" s="10">
        <v>110.0</v>
      </c>
      <c r="G542" s="10" t="str">
        <f>IFERROR(VLOOKUP(C542&amp;D542&amp;E542&amp;F542,productID!$A$2:$B$7,2,FALSE))</f>
        <v>StSwC110</v>
      </c>
      <c r="H542" s="10">
        <v>2022.0</v>
      </c>
      <c r="I542" s="10" t="s">
        <v>52</v>
      </c>
      <c r="J542" s="10">
        <v>12.89568487696306</v>
      </c>
      <c r="K542" s="11">
        <v>9.122509160908619</v>
      </c>
      <c r="L542" s="12">
        <v>7.043864690686911</v>
      </c>
      <c r="M542" s="9">
        <v>1.1254835151553262</v>
      </c>
    </row>
    <row r="543">
      <c r="A543" s="10" t="s">
        <v>10</v>
      </c>
      <c r="B543" s="10" t="s">
        <v>38</v>
      </c>
      <c r="C543" s="10" t="s">
        <v>40</v>
      </c>
      <c r="D543" s="10" t="s">
        <v>13</v>
      </c>
      <c r="E543" s="10" t="s">
        <v>14</v>
      </c>
      <c r="F543" s="10">
        <v>110.0</v>
      </c>
      <c r="G543" s="10" t="str">
        <f>IFERROR(VLOOKUP(C543&amp;D543&amp;E543&amp;F543,productID!$A$2:$B$7,2,FALSE))</f>
        <v>StSwC110</v>
      </c>
      <c r="H543" s="10">
        <v>2022.0</v>
      </c>
      <c r="I543" s="10" t="s">
        <v>53</v>
      </c>
      <c r="J543" s="10">
        <v>11.690200633420233</v>
      </c>
      <c r="K543" s="11">
        <v>7.75579281761829</v>
      </c>
      <c r="L543" s="12">
        <v>5.9885667652059995</v>
      </c>
      <c r="M543" s="9">
        <v>1.021856557385046</v>
      </c>
    </row>
    <row r="544">
      <c r="A544" s="10" t="s">
        <v>10</v>
      </c>
      <c r="B544" s="10" t="s">
        <v>38</v>
      </c>
      <c r="C544" s="10" t="s">
        <v>40</v>
      </c>
      <c r="D544" s="10" t="s">
        <v>13</v>
      </c>
      <c r="E544" s="10" t="s">
        <v>14</v>
      </c>
      <c r="F544" s="10">
        <v>110.0</v>
      </c>
      <c r="G544" s="10" t="str">
        <f>IFERROR(VLOOKUP(C544&amp;D544&amp;E544&amp;F544,productID!$A$2:$B$7,2,FALSE))</f>
        <v>StSwC110</v>
      </c>
      <c r="H544" s="10">
        <v>2022.0</v>
      </c>
      <c r="I544" s="10" t="s">
        <v>54</v>
      </c>
      <c r="J544" s="10">
        <v>9.725069877025021</v>
      </c>
      <c r="K544" s="11">
        <v>6.81293063622409</v>
      </c>
      <c r="L544" s="12">
        <v>5.260544078622569</v>
      </c>
      <c r="M544" s="9">
        <v>0.8806877614318145</v>
      </c>
    </row>
    <row r="545">
      <c r="A545" s="10" t="s">
        <v>10</v>
      </c>
      <c r="B545" s="10" t="s">
        <v>38</v>
      </c>
      <c r="C545" s="10" t="s">
        <v>40</v>
      </c>
      <c r="D545" s="10" t="s">
        <v>13</v>
      </c>
      <c r="E545" s="10" t="s">
        <v>14</v>
      </c>
      <c r="F545" s="10">
        <v>110.0</v>
      </c>
      <c r="G545" s="10" t="str">
        <f>IFERROR(VLOOKUP(C545&amp;D545&amp;E545&amp;F545,productID!$A$2:$B$7,2,FALSE))</f>
        <v>StSwC110</v>
      </c>
      <c r="H545" s="10">
        <v>2023.0</v>
      </c>
      <c r="I545" s="10" t="s">
        <v>51</v>
      </c>
      <c r="J545" s="10">
        <v>9.859289977041357</v>
      </c>
      <c r="K545" s="11">
        <v>7.338016855850834</v>
      </c>
      <c r="L545" s="12">
        <v>5.665984754730008</v>
      </c>
      <c r="M545" s="9">
        <v>0.8359924118826474</v>
      </c>
    </row>
    <row r="546">
      <c r="A546" s="10" t="s">
        <v>10</v>
      </c>
      <c r="B546" s="10" t="s">
        <v>38</v>
      </c>
      <c r="C546" s="10" t="s">
        <v>40</v>
      </c>
      <c r="D546" s="10" t="s">
        <v>13</v>
      </c>
      <c r="E546" s="10" t="s">
        <v>14</v>
      </c>
      <c r="F546" s="10">
        <v>110.0</v>
      </c>
      <c r="G546" s="10" t="str">
        <f>IFERROR(VLOOKUP(C546&amp;D546&amp;E546&amp;F546,productID!$A$2:$B$7,2,FALSE))</f>
        <v>StSwC110</v>
      </c>
      <c r="H546" s="10">
        <v>2023.0</v>
      </c>
      <c r="I546" s="10" t="s">
        <v>52</v>
      </c>
      <c r="J546" s="10">
        <v>9.330161353273326</v>
      </c>
      <c r="K546" s="11">
        <v>5.654847026751906</v>
      </c>
      <c r="L546" s="12">
        <v>4.366340071617563</v>
      </c>
      <c r="M546" s="9">
        <v>0.7373439462999698</v>
      </c>
    </row>
    <row r="547">
      <c r="A547" s="10" t="s">
        <v>10</v>
      </c>
      <c r="B547" s="10" t="s">
        <v>38</v>
      </c>
      <c r="C547" s="10" t="s">
        <v>40</v>
      </c>
      <c r="D547" s="10" t="s">
        <v>13</v>
      </c>
      <c r="E547" s="10" t="s">
        <v>14</v>
      </c>
      <c r="F547" s="10">
        <v>110.0</v>
      </c>
      <c r="G547" s="10" t="str">
        <f>IFERROR(VLOOKUP(C547&amp;D547&amp;E547&amp;F547,productID!$A$2:$B$7,2,FALSE))</f>
        <v>StSwC110</v>
      </c>
      <c r="H547" s="10">
        <v>2023.0</v>
      </c>
      <c r="I547" s="10" t="s">
        <v>53</v>
      </c>
      <c r="J547" s="10">
        <v>9.310875232862685</v>
      </c>
      <c r="K547" s="11">
        <v>5.983540222833042</v>
      </c>
      <c r="L547" s="12">
        <v>4.6201376131827985</v>
      </c>
      <c r="M547" s="9">
        <v>0.7542187289180632</v>
      </c>
    </row>
    <row r="548">
      <c r="A548" s="10" t="s">
        <v>10</v>
      </c>
      <c r="B548" s="10" t="s">
        <v>38</v>
      </c>
      <c r="C548" s="10" t="s">
        <v>40</v>
      </c>
      <c r="D548" s="10" t="s">
        <v>13</v>
      </c>
      <c r="E548" s="10" t="s">
        <v>14</v>
      </c>
      <c r="F548" s="10">
        <v>110.0</v>
      </c>
      <c r="G548" s="10" t="str">
        <f>IFERROR(VLOOKUP(C548&amp;D548&amp;E548&amp;F548,productID!$A$2:$B$7,2,FALSE))</f>
        <v>StSwC110</v>
      </c>
      <c r="H548" s="10">
        <v>2023.0</v>
      </c>
      <c r="I548" s="10" t="s">
        <v>54</v>
      </c>
      <c r="J548" s="10">
        <v>9.607691929651999</v>
      </c>
      <c r="K548" s="11">
        <v>6.594174846345428</v>
      </c>
      <c r="L548" s="12">
        <v>5.091633732024885</v>
      </c>
      <c r="M548" s="9">
        <v>0.8267002876155745</v>
      </c>
    </row>
    <row r="549">
      <c r="A549" s="10" t="s">
        <v>24</v>
      </c>
      <c r="B549" s="10" t="s">
        <v>38</v>
      </c>
      <c r="C549" s="10" t="s">
        <v>40</v>
      </c>
      <c r="D549" s="10" t="s">
        <v>13</v>
      </c>
      <c r="E549" s="10" t="s">
        <v>14</v>
      </c>
      <c r="F549" s="10">
        <v>110.0</v>
      </c>
      <c r="G549" s="10" t="str">
        <f>IFERROR(VLOOKUP(C549&amp;D549&amp;E549&amp;F549,productID!$A$2:$B$7,2,FALSE))</f>
        <v>StSwC110</v>
      </c>
      <c r="H549" s="10">
        <v>2022.0</v>
      </c>
      <c r="I549" s="10" t="s">
        <v>51</v>
      </c>
      <c r="J549" s="10">
        <v>16.000919533594768</v>
      </c>
      <c r="K549" s="11">
        <v>11.694074809645473</v>
      </c>
      <c r="L549" s="12">
        <v>9.029476341321498</v>
      </c>
      <c r="M549" s="9">
        <v>1.787049793895417</v>
      </c>
    </row>
    <row r="550">
      <c r="A550" s="10" t="s">
        <v>24</v>
      </c>
      <c r="B550" s="10" t="s">
        <v>38</v>
      </c>
      <c r="C550" s="10" t="s">
        <v>40</v>
      </c>
      <c r="D550" s="10" t="s">
        <v>13</v>
      </c>
      <c r="E550" s="10" t="s">
        <v>14</v>
      </c>
      <c r="F550" s="10">
        <v>110.0</v>
      </c>
      <c r="G550" s="10" t="str">
        <f>IFERROR(VLOOKUP(C550&amp;D550&amp;E550&amp;F550,productID!$A$2:$B$7,2,FALSE))</f>
        <v>StSwC110</v>
      </c>
      <c r="H550" s="10">
        <v>2022.0</v>
      </c>
      <c r="I550" s="10" t="s">
        <v>52</v>
      </c>
      <c r="J550" s="10">
        <v>20.787690787596382</v>
      </c>
      <c r="K550" s="11">
        <v>13.056993005216587</v>
      </c>
      <c r="L550" s="12">
        <v>10.081841560664495</v>
      </c>
      <c r="M550" s="9">
        <v>2.2192640918283173</v>
      </c>
    </row>
    <row r="551">
      <c r="A551" s="10" t="s">
        <v>24</v>
      </c>
      <c r="B551" s="10" t="s">
        <v>38</v>
      </c>
      <c r="C551" s="10" t="s">
        <v>40</v>
      </c>
      <c r="D551" s="10" t="s">
        <v>13</v>
      </c>
      <c r="E551" s="10" t="s">
        <v>14</v>
      </c>
      <c r="F551" s="10">
        <v>110.0</v>
      </c>
      <c r="G551" s="10" t="str">
        <f>IFERROR(VLOOKUP(C551&amp;D551&amp;E551&amp;F551,productID!$A$2:$B$7,2,FALSE))</f>
        <v>StSwC110</v>
      </c>
      <c r="H551" s="10">
        <v>2022.0</v>
      </c>
      <c r="I551" s="10" t="s">
        <v>53</v>
      </c>
      <c r="J551" s="10">
        <v>21.22252841137726</v>
      </c>
      <c r="K551" s="11">
        <v>13.257008489325614</v>
      </c>
      <c r="L551" s="12">
        <v>10.236281746062554</v>
      </c>
      <c r="M551" s="9">
        <v>2.2052162973069023</v>
      </c>
    </row>
    <row r="552">
      <c r="A552" s="10" t="s">
        <v>24</v>
      </c>
      <c r="B552" s="10" t="s">
        <v>38</v>
      </c>
      <c r="C552" s="10" t="s">
        <v>40</v>
      </c>
      <c r="D552" s="10" t="s">
        <v>13</v>
      </c>
      <c r="E552" s="10" t="s">
        <v>14</v>
      </c>
      <c r="F552" s="10">
        <v>110.0</v>
      </c>
      <c r="G552" s="10" t="str">
        <f>IFERROR(VLOOKUP(C552&amp;D552&amp;E552&amp;F552,productID!$A$2:$B$7,2,FALSE))</f>
        <v>StSwC110</v>
      </c>
      <c r="H552" s="10">
        <v>2022.0</v>
      </c>
      <c r="I552" s="10" t="s">
        <v>54</v>
      </c>
      <c r="J552" s="10">
        <v>22.082737676303825</v>
      </c>
      <c r="K552" s="11">
        <v>15.192486211884654</v>
      </c>
      <c r="L552" s="12">
        <v>11.730743735529808</v>
      </c>
      <c r="M552" s="9">
        <v>2.37065191897448</v>
      </c>
    </row>
    <row r="553">
      <c r="A553" s="10" t="s">
        <v>24</v>
      </c>
      <c r="B553" s="10" t="s">
        <v>38</v>
      </c>
      <c r="C553" s="10" t="s">
        <v>40</v>
      </c>
      <c r="D553" s="10" t="s">
        <v>13</v>
      </c>
      <c r="E553" s="10" t="s">
        <v>14</v>
      </c>
      <c r="F553" s="10">
        <v>110.0</v>
      </c>
      <c r="G553" s="10" t="str">
        <f>IFERROR(VLOOKUP(C553&amp;D553&amp;E553&amp;F553,productID!$A$2:$B$7,2,FALSE))</f>
        <v>StSwC110</v>
      </c>
      <c r="H553" s="10">
        <v>2023.0</v>
      </c>
      <c r="I553" s="10" t="s">
        <v>51</v>
      </c>
      <c r="J553" s="10">
        <v>19.98143025574325</v>
      </c>
      <c r="K553" s="11">
        <v>13.177179856986944</v>
      </c>
      <c r="L553" s="12">
        <v>10.174642774293062</v>
      </c>
      <c r="M553" s="9">
        <v>2.089535308670603</v>
      </c>
    </row>
    <row r="554">
      <c r="A554" s="10" t="s">
        <v>24</v>
      </c>
      <c r="B554" s="10" t="s">
        <v>38</v>
      </c>
      <c r="C554" s="10" t="s">
        <v>40</v>
      </c>
      <c r="D554" s="10" t="s">
        <v>13</v>
      </c>
      <c r="E554" s="10" t="s">
        <v>14</v>
      </c>
      <c r="F554" s="10">
        <v>110.0</v>
      </c>
      <c r="G554" s="10" t="str">
        <f>IFERROR(VLOOKUP(C554&amp;D554&amp;E554&amp;F554,productID!$A$2:$B$7,2,FALSE))</f>
        <v>StSwC110</v>
      </c>
      <c r="H554" s="10">
        <v>2023.0</v>
      </c>
      <c r="I554" s="10" t="s">
        <v>52</v>
      </c>
      <c r="J554" s="10">
        <v>13.284677504844854</v>
      </c>
      <c r="K554" s="11">
        <v>9.253069636861428</v>
      </c>
      <c r="L554" s="12">
        <v>7.144675806394431</v>
      </c>
      <c r="M554" s="9">
        <v>1.3710166326652418</v>
      </c>
    </row>
    <row r="555">
      <c r="A555" s="10" t="s">
        <v>24</v>
      </c>
      <c r="B555" s="10" t="s">
        <v>38</v>
      </c>
      <c r="C555" s="10" t="s">
        <v>40</v>
      </c>
      <c r="D555" s="10" t="s">
        <v>13</v>
      </c>
      <c r="E555" s="10" t="s">
        <v>14</v>
      </c>
      <c r="F555" s="10">
        <v>110.0</v>
      </c>
      <c r="G555" s="10" t="str">
        <f>IFERROR(VLOOKUP(C555&amp;D555&amp;E555&amp;F555,productID!$A$2:$B$7,2,FALSE))</f>
        <v>StSwC110</v>
      </c>
      <c r="H555" s="10">
        <v>2023.0</v>
      </c>
      <c r="I555" s="10" t="s">
        <v>53</v>
      </c>
      <c r="J555" s="10">
        <v>12.949439121084625</v>
      </c>
      <c r="K555" s="11">
        <v>8.273543261947584</v>
      </c>
      <c r="L555" s="12">
        <v>6.388343187358184</v>
      </c>
      <c r="M555" s="9">
        <v>1.4224620545069593</v>
      </c>
    </row>
    <row r="556">
      <c r="A556" s="10" t="s">
        <v>24</v>
      </c>
      <c r="B556" s="10" t="s">
        <v>38</v>
      </c>
      <c r="C556" s="10" t="s">
        <v>40</v>
      </c>
      <c r="D556" s="10" t="s">
        <v>13</v>
      </c>
      <c r="E556" s="10" t="s">
        <v>14</v>
      </c>
      <c r="F556" s="10">
        <v>110.0</v>
      </c>
      <c r="G556" s="10" t="str">
        <f>IFERROR(VLOOKUP(C556&amp;D556&amp;E556&amp;F556,productID!$A$2:$B$7,2,FALSE))</f>
        <v>StSwC110</v>
      </c>
      <c r="H556" s="10">
        <v>2023.0</v>
      </c>
      <c r="I556" s="10" t="s">
        <v>54</v>
      </c>
      <c r="J556" s="10">
        <v>10.065587414794528</v>
      </c>
      <c r="K556" s="11">
        <v>6.545838366967951</v>
      </c>
      <c r="L556" s="12">
        <v>5.054311147376999</v>
      </c>
      <c r="M556" s="9">
        <v>1.2764712397509752</v>
      </c>
    </row>
    <row r="557">
      <c r="A557" s="10" t="s">
        <v>25</v>
      </c>
      <c r="B557" s="10" t="s">
        <v>38</v>
      </c>
      <c r="C557" s="10" t="s">
        <v>40</v>
      </c>
      <c r="D557" s="10" t="s">
        <v>13</v>
      </c>
      <c r="E557" s="10" t="s">
        <v>14</v>
      </c>
      <c r="F557" s="10">
        <v>110.0</v>
      </c>
      <c r="G557" s="10" t="str">
        <f>IFERROR(VLOOKUP(C557&amp;D557&amp;E557&amp;F557,productID!$A$2:$B$7,2,FALSE))</f>
        <v>StSwC110</v>
      </c>
      <c r="H557" s="10">
        <v>2022.0</v>
      </c>
      <c r="I557" s="10" t="s">
        <v>51</v>
      </c>
      <c r="J557" s="10">
        <v>13.021892367106343</v>
      </c>
      <c r="K557" s="11">
        <v>9.008769241401247</v>
      </c>
      <c r="L557" s="12">
        <v>6.956041418733107</v>
      </c>
      <c r="M557" s="9">
        <v>1.332513140618451</v>
      </c>
    </row>
    <row r="558">
      <c r="A558" s="10" t="s">
        <v>25</v>
      </c>
      <c r="B558" s="10" t="s">
        <v>38</v>
      </c>
      <c r="C558" s="10" t="s">
        <v>40</v>
      </c>
      <c r="D558" s="10" t="s">
        <v>13</v>
      </c>
      <c r="E558" s="10" t="s">
        <v>14</v>
      </c>
      <c r="F558" s="10">
        <v>110.0</v>
      </c>
      <c r="G558" s="10" t="str">
        <f>IFERROR(VLOOKUP(C558&amp;D558&amp;E558&amp;F558,productID!$A$2:$B$7,2,FALSE))</f>
        <v>StSwC110</v>
      </c>
      <c r="H558" s="10">
        <v>2022.0</v>
      </c>
      <c r="I558" s="10" t="s">
        <v>52</v>
      </c>
      <c r="J558" s="10">
        <v>19.62251482107902</v>
      </c>
      <c r="K558" s="11">
        <v>13.432076525702069</v>
      </c>
      <c r="L558" s="12">
        <v>10.371458980543641</v>
      </c>
      <c r="M558" s="9">
        <v>1.9902568901854742</v>
      </c>
    </row>
    <row r="559">
      <c r="A559" s="10" t="s">
        <v>25</v>
      </c>
      <c r="B559" s="10" t="s">
        <v>38</v>
      </c>
      <c r="C559" s="10" t="s">
        <v>40</v>
      </c>
      <c r="D559" s="10" t="s">
        <v>13</v>
      </c>
      <c r="E559" s="10" t="s">
        <v>14</v>
      </c>
      <c r="F559" s="10">
        <v>110.0</v>
      </c>
      <c r="G559" s="10" t="str">
        <f>IFERROR(VLOOKUP(C559&amp;D559&amp;E559&amp;F559,productID!$A$2:$B$7,2,FALSE))</f>
        <v>StSwC110</v>
      </c>
      <c r="H559" s="10">
        <v>2022.0</v>
      </c>
      <c r="I559" s="10" t="s">
        <v>53</v>
      </c>
      <c r="J559" s="10">
        <v>18.7706328058496</v>
      </c>
      <c r="K559" s="11">
        <v>13.814384380293859</v>
      </c>
      <c r="L559" s="12">
        <v>10.666654606048846</v>
      </c>
      <c r="M559" s="9">
        <v>1.8307826945372894</v>
      </c>
    </row>
    <row r="560">
      <c r="A560" s="10" t="s">
        <v>25</v>
      </c>
      <c r="B560" s="10" t="s">
        <v>38</v>
      </c>
      <c r="C560" s="10" t="s">
        <v>40</v>
      </c>
      <c r="D560" s="10" t="s">
        <v>13</v>
      </c>
      <c r="E560" s="10" t="s">
        <v>14</v>
      </c>
      <c r="F560" s="10">
        <v>110.0</v>
      </c>
      <c r="G560" s="10" t="str">
        <f>IFERROR(VLOOKUP(C560&amp;D560&amp;E560&amp;F560,productID!$A$2:$B$7,2,FALSE))</f>
        <v>StSwC110</v>
      </c>
      <c r="H560" s="10">
        <v>2022.0</v>
      </c>
      <c r="I560" s="10" t="s">
        <v>54</v>
      </c>
      <c r="J560" s="10">
        <v>16.374878272953847</v>
      </c>
      <c r="K560" s="11">
        <v>11.090400344711973</v>
      </c>
      <c r="L560" s="12">
        <v>8.563354447310612</v>
      </c>
      <c r="M560" s="9">
        <v>1.5754565505653688</v>
      </c>
    </row>
    <row r="561">
      <c r="A561" s="10" t="s">
        <v>25</v>
      </c>
      <c r="B561" s="10" t="s">
        <v>38</v>
      </c>
      <c r="C561" s="10" t="s">
        <v>40</v>
      </c>
      <c r="D561" s="10" t="s">
        <v>13</v>
      </c>
      <c r="E561" s="10" t="s">
        <v>14</v>
      </c>
      <c r="F561" s="10">
        <v>110.0</v>
      </c>
      <c r="G561" s="10" t="str">
        <f>IFERROR(VLOOKUP(C561&amp;D561&amp;E561&amp;F561,productID!$A$2:$B$7,2,FALSE))</f>
        <v>StSwC110</v>
      </c>
      <c r="H561" s="10">
        <v>2023.0</v>
      </c>
      <c r="I561" s="10" t="s">
        <v>51</v>
      </c>
      <c r="J561" s="10">
        <v>17.198731258891552</v>
      </c>
      <c r="K561" s="11">
        <v>11.654413491890637</v>
      </c>
      <c r="L561" s="12">
        <v>8.998852205922814</v>
      </c>
      <c r="M561" s="9">
        <v>1.5661687250234764</v>
      </c>
    </row>
    <row r="562">
      <c r="A562" s="10" t="s">
        <v>25</v>
      </c>
      <c r="B562" s="10" t="s">
        <v>38</v>
      </c>
      <c r="C562" s="10" t="s">
        <v>40</v>
      </c>
      <c r="D562" s="10" t="s">
        <v>13</v>
      </c>
      <c r="E562" s="10" t="s">
        <v>14</v>
      </c>
      <c r="F562" s="10">
        <v>110.0</v>
      </c>
      <c r="G562" s="10" t="str">
        <f>IFERROR(VLOOKUP(C562&amp;D562&amp;E562&amp;F562,productID!$A$2:$B$7,2,FALSE))</f>
        <v>StSwC110</v>
      </c>
      <c r="H562" s="10">
        <v>2023.0</v>
      </c>
      <c r="I562" s="10" t="s">
        <v>52</v>
      </c>
      <c r="J562" s="10">
        <v>12.470253233241344</v>
      </c>
      <c r="K562" s="11">
        <v>8.406722180082438</v>
      </c>
      <c r="L562" s="12">
        <v>6.4911761100165535</v>
      </c>
      <c r="M562" s="9">
        <v>1.1196526356561267</v>
      </c>
    </row>
    <row r="563">
      <c r="A563" s="10" t="s">
        <v>25</v>
      </c>
      <c r="B563" s="10" t="s">
        <v>38</v>
      </c>
      <c r="C563" s="10" t="s">
        <v>40</v>
      </c>
      <c r="D563" s="10" t="s">
        <v>13</v>
      </c>
      <c r="E563" s="10" t="s">
        <v>14</v>
      </c>
      <c r="F563" s="10">
        <v>110.0</v>
      </c>
      <c r="G563" s="10" t="str">
        <f>IFERROR(VLOOKUP(C563&amp;D563&amp;E563&amp;F563,productID!$A$2:$B$7,2,FALSE))</f>
        <v>StSwC110</v>
      </c>
      <c r="H563" s="10">
        <v>2023.0</v>
      </c>
      <c r="I563" s="10" t="s">
        <v>53</v>
      </c>
      <c r="J563" s="10">
        <v>11.938331842439467</v>
      </c>
      <c r="K563" s="11">
        <v>7.588027167756842</v>
      </c>
      <c r="L563" s="12">
        <v>5.859028003827381</v>
      </c>
      <c r="M563" s="9">
        <v>1.1377945415251354</v>
      </c>
    </row>
    <row r="564">
      <c r="A564" s="10" t="s">
        <v>25</v>
      </c>
      <c r="B564" s="10" t="s">
        <v>38</v>
      </c>
      <c r="C564" s="10" t="s">
        <v>40</v>
      </c>
      <c r="D564" s="10" t="s">
        <v>13</v>
      </c>
      <c r="E564" s="10" t="s">
        <v>14</v>
      </c>
      <c r="F564" s="10">
        <v>110.0</v>
      </c>
      <c r="G564" s="10" t="str">
        <f>IFERROR(VLOOKUP(C564&amp;D564&amp;E564&amp;F564,productID!$A$2:$B$7,2,FALSE))</f>
        <v>StSwC110</v>
      </c>
      <c r="H564" s="10">
        <v>2023.0</v>
      </c>
      <c r="I564" s="10" t="s">
        <v>54</v>
      </c>
      <c r="J564" s="10">
        <v>9.582184297266844</v>
      </c>
      <c r="K564" s="11">
        <v>6.9720555695863125</v>
      </c>
      <c r="L564" s="12">
        <v>5.3834109872491025</v>
      </c>
      <c r="M564" s="9">
        <v>0.9752815416107021</v>
      </c>
    </row>
    <row r="565">
      <c r="A565" s="10" t="s">
        <v>26</v>
      </c>
      <c r="B565" s="10" t="s">
        <v>38</v>
      </c>
      <c r="C565" s="10" t="s">
        <v>40</v>
      </c>
      <c r="D565" s="10" t="s">
        <v>13</v>
      </c>
      <c r="E565" s="10" t="s">
        <v>14</v>
      </c>
      <c r="F565" s="10">
        <v>110.0</v>
      </c>
      <c r="G565" s="10" t="str">
        <f>IFERROR(VLOOKUP(C565&amp;D565&amp;E565&amp;F565,productID!$A$2:$B$7,2,FALSE))</f>
        <v>StSwC110</v>
      </c>
      <c r="H565" s="10">
        <v>2022.0</v>
      </c>
      <c r="I565" s="10" t="s">
        <v>51</v>
      </c>
      <c r="J565" s="10">
        <v>57.68757322343078</v>
      </c>
      <c r="K565" s="11">
        <v>39.47072245669737</v>
      </c>
      <c r="L565" s="12">
        <v>30.47696892649013</v>
      </c>
      <c r="M565" s="9">
        <v>2.7926280574555564</v>
      </c>
    </row>
    <row r="566">
      <c r="A566" s="10" t="s">
        <v>26</v>
      </c>
      <c r="B566" s="10" t="s">
        <v>38</v>
      </c>
      <c r="C566" s="10" t="s">
        <v>40</v>
      </c>
      <c r="D566" s="10" t="s">
        <v>13</v>
      </c>
      <c r="E566" s="10" t="s">
        <v>14</v>
      </c>
      <c r="F566" s="10">
        <v>110.0</v>
      </c>
      <c r="G566" s="10" t="str">
        <f>IFERROR(VLOOKUP(C566&amp;D566&amp;E566&amp;F566,productID!$A$2:$B$7,2,FALSE))</f>
        <v>StSwC110</v>
      </c>
      <c r="H566" s="10">
        <v>2022.0</v>
      </c>
      <c r="I566" s="10" t="s">
        <v>52</v>
      </c>
      <c r="J566" s="10">
        <v>55.28976835972381</v>
      </c>
      <c r="K566" s="11">
        <v>33.2034138346297</v>
      </c>
      <c r="L566" s="12">
        <v>25.637722055925952</v>
      </c>
      <c r="M566" s="9">
        <v>2.632880759674395</v>
      </c>
    </row>
    <row r="567">
      <c r="A567" s="10" t="s">
        <v>26</v>
      </c>
      <c r="B567" s="10" t="s">
        <v>38</v>
      </c>
      <c r="C567" s="10" t="s">
        <v>40</v>
      </c>
      <c r="D567" s="10" t="s">
        <v>13</v>
      </c>
      <c r="E567" s="10" t="s">
        <v>14</v>
      </c>
      <c r="F567" s="10">
        <v>110.0</v>
      </c>
      <c r="G567" s="10" t="str">
        <f>IFERROR(VLOOKUP(C567&amp;D567&amp;E567&amp;F567,productID!$A$2:$B$7,2,FALSE))</f>
        <v>StSwC110</v>
      </c>
      <c r="H567" s="10">
        <v>2022.0</v>
      </c>
      <c r="I567" s="10" t="s">
        <v>53</v>
      </c>
      <c r="J567" s="10">
        <v>51.46007458873964</v>
      </c>
      <c r="K567" s="11">
        <v>37.68820835103248</v>
      </c>
      <c r="L567" s="12">
        <v>29.10061643968225</v>
      </c>
      <c r="M567" s="9">
        <v>2.4569302194036675</v>
      </c>
    </row>
    <row r="568">
      <c r="A568" s="10" t="s">
        <v>26</v>
      </c>
      <c r="B568" s="10" t="s">
        <v>38</v>
      </c>
      <c r="C568" s="10" t="s">
        <v>40</v>
      </c>
      <c r="D568" s="10" t="s">
        <v>13</v>
      </c>
      <c r="E568" s="10" t="s">
        <v>14</v>
      </c>
      <c r="F568" s="10">
        <v>110.0</v>
      </c>
      <c r="G568" s="10" t="str">
        <f>IFERROR(VLOOKUP(C568&amp;D568&amp;E568&amp;F568,productID!$A$2:$B$7,2,FALSE))</f>
        <v>StSwC110</v>
      </c>
      <c r="H568" s="10">
        <v>2022.0</v>
      </c>
      <c r="I568" s="10" t="s">
        <v>54</v>
      </c>
      <c r="J568" s="10">
        <v>46.017952820116506</v>
      </c>
      <c r="K568" s="11">
        <v>32.16488833756265</v>
      </c>
      <c r="L568" s="12">
        <v>24.835833787014632</v>
      </c>
      <c r="M568" s="9">
        <v>2.1555845938338125</v>
      </c>
    </row>
    <row r="569">
      <c r="A569" s="10" t="s">
        <v>26</v>
      </c>
      <c r="B569" s="10" t="s">
        <v>38</v>
      </c>
      <c r="C569" s="10" t="s">
        <v>40</v>
      </c>
      <c r="D569" s="10" t="s">
        <v>13</v>
      </c>
      <c r="E569" s="10" t="s">
        <v>14</v>
      </c>
      <c r="F569" s="10">
        <v>110.0</v>
      </c>
      <c r="G569" s="10" t="str">
        <f>IFERROR(VLOOKUP(C569&amp;D569&amp;E569&amp;F569,productID!$A$2:$B$7,2,FALSE))</f>
        <v>StSwC110</v>
      </c>
      <c r="H569" s="10">
        <v>2023.0</v>
      </c>
      <c r="I569" s="10" t="s">
        <v>51</v>
      </c>
      <c r="J569" s="10">
        <v>44.961129229893864</v>
      </c>
      <c r="K569" s="11">
        <v>27.838898851753697</v>
      </c>
      <c r="L569" s="12">
        <v>21.495559301794223</v>
      </c>
      <c r="M569" s="9">
        <v>2.085267057245146</v>
      </c>
    </row>
    <row r="570">
      <c r="A570" s="10" t="s">
        <v>26</v>
      </c>
      <c r="B570" s="10" t="s">
        <v>38</v>
      </c>
      <c r="C570" s="10" t="s">
        <v>40</v>
      </c>
      <c r="D570" s="10" t="s">
        <v>13</v>
      </c>
      <c r="E570" s="10" t="s">
        <v>14</v>
      </c>
      <c r="F570" s="10">
        <v>110.0</v>
      </c>
      <c r="G570" s="10" t="str">
        <f>IFERROR(VLOOKUP(C570&amp;D570&amp;E570&amp;F570,productID!$A$2:$B$7,2,FALSE))</f>
        <v>StSwC110</v>
      </c>
      <c r="H570" s="10">
        <v>2023.0</v>
      </c>
      <c r="I570" s="10" t="s">
        <v>52</v>
      </c>
      <c r="J570" s="10">
        <v>42.17278799800832</v>
      </c>
      <c r="K570" s="11">
        <v>29.101376620417206</v>
      </c>
      <c r="L570" s="12">
        <v>22.470370334659258</v>
      </c>
      <c r="M570" s="9">
        <v>1.8926182224733357</v>
      </c>
    </row>
    <row r="571">
      <c r="A571" s="10" t="s">
        <v>26</v>
      </c>
      <c r="B571" s="10" t="s">
        <v>38</v>
      </c>
      <c r="C571" s="10" t="s">
        <v>40</v>
      </c>
      <c r="D571" s="10" t="s">
        <v>13</v>
      </c>
      <c r="E571" s="10" t="s">
        <v>14</v>
      </c>
      <c r="F571" s="10">
        <v>110.0</v>
      </c>
      <c r="G571" s="10" t="str">
        <f>IFERROR(VLOOKUP(C571&amp;D571&amp;E571&amp;F571,productID!$A$2:$B$7,2,FALSE))</f>
        <v>StSwC110</v>
      </c>
      <c r="H571" s="10">
        <v>2023.0</v>
      </c>
      <c r="I571" s="10" t="s">
        <v>53</v>
      </c>
      <c r="J571" s="10">
        <v>38.533407594411116</v>
      </c>
      <c r="K571" s="11">
        <v>25.43629595565172</v>
      </c>
      <c r="L571" s="12">
        <v>19.640410744847284</v>
      </c>
      <c r="M571" s="9">
        <v>1.7681714826981394</v>
      </c>
    </row>
    <row r="572">
      <c r="A572" s="10" t="s">
        <v>26</v>
      </c>
      <c r="B572" s="10" t="s">
        <v>38</v>
      </c>
      <c r="C572" s="10" t="s">
        <v>40</v>
      </c>
      <c r="D572" s="10" t="s">
        <v>13</v>
      </c>
      <c r="E572" s="10" t="s">
        <v>14</v>
      </c>
      <c r="F572" s="10">
        <v>110.0</v>
      </c>
      <c r="G572" s="10" t="str">
        <f>IFERROR(VLOOKUP(C572&amp;D572&amp;E572&amp;F572,productID!$A$2:$B$7,2,FALSE))</f>
        <v>StSwC110</v>
      </c>
      <c r="H572" s="10">
        <v>2023.0</v>
      </c>
      <c r="I572" s="10" t="s">
        <v>54</v>
      </c>
      <c r="J572" s="10">
        <v>34.97948168882406</v>
      </c>
      <c r="K572" s="11">
        <v>25.725304106068638</v>
      </c>
      <c r="L572" s="12">
        <v>19.86356582971866</v>
      </c>
      <c r="M572" s="9">
        <v>1.6634878978089291</v>
      </c>
    </row>
    <row r="573">
      <c r="A573" s="10" t="s">
        <v>10</v>
      </c>
      <c r="B573" s="10" t="s">
        <v>38</v>
      </c>
      <c r="C573" s="10" t="s">
        <v>39</v>
      </c>
      <c r="D573" s="10" t="s">
        <v>13</v>
      </c>
      <c r="E573" s="10" t="s">
        <v>14</v>
      </c>
      <c r="F573" s="10">
        <v>170.0</v>
      </c>
      <c r="G573" s="10" t="str">
        <f>IFERROR(VLOOKUP(C573&amp;D573&amp;E573&amp;F573,productID!$A$2:$B$7,2,FALSE))</f>
        <v>SmSwC170</v>
      </c>
      <c r="H573" s="10">
        <v>2022.0</v>
      </c>
      <c r="I573" s="10" t="s">
        <v>51</v>
      </c>
      <c r="J573" s="10">
        <v>24.755348968786024</v>
      </c>
      <c r="K573" s="11">
        <v>18.528919796517016</v>
      </c>
      <c r="L573" s="12">
        <v>11.86382366277181</v>
      </c>
      <c r="M573" s="9">
        <v>2.169509723368452</v>
      </c>
    </row>
    <row r="574">
      <c r="A574" s="10" t="s">
        <v>10</v>
      </c>
      <c r="B574" s="10" t="s">
        <v>38</v>
      </c>
      <c r="C574" s="10" t="s">
        <v>39</v>
      </c>
      <c r="D574" s="10" t="s">
        <v>13</v>
      </c>
      <c r="E574" s="10" t="s">
        <v>14</v>
      </c>
      <c r="F574" s="10">
        <v>170.0</v>
      </c>
      <c r="G574" s="10" t="str">
        <f>IFERROR(VLOOKUP(C574&amp;D574&amp;E574&amp;F574,productID!$A$2:$B$7,2,FALSE))</f>
        <v>SmSwC170</v>
      </c>
      <c r="H574" s="10">
        <v>2022.0</v>
      </c>
      <c r="I574" s="10" t="s">
        <v>52</v>
      </c>
      <c r="J574" s="10">
        <v>21.742090367435168</v>
      </c>
      <c r="K574" s="11">
        <v>15.296769345859161</v>
      </c>
      <c r="L574" s="12">
        <v>9.794320236815958</v>
      </c>
      <c r="M574" s="9">
        <v>1.8975622099202905</v>
      </c>
    </row>
    <row r="575">
      <c r="A575" s="10" t="s">
        <v>10</v>
      </c>
      <c r="B575" s="10" t="s">
        <v>38</v>
      </c>
      <c r="C575" s="10" t="s">
        <v>39</v>
      </c>
      <c r="D575" s="10" t="s">
        <v>13</v>
      </c>
      <c r="E575" s="10" t="s">
        <v>14</v>
      </c>
      <c r="F575" s="10">
        <v>170.0</v>
      </c>
      <c r="G575" s="10" t="str">
        <f>IFERROR(VLOOKUP(C575&amp;D575&amp;E575&amp;F575,productID!$A$2:$B$7,2,FALSE))</f>
        <v>SmSwC170</v>
      </c>
      <c r="H575" s="10">
        <v>2022.0</v>
      </c>
      <c r="I575" s="10" t="s">
        <v>53</v>
      </c>
      <c r="J575" s="10">
        <v>24.20878995321081</v>
      </c>
      <c r="K575" s="11">
        <v>15.197884114854244</v>
      </c>
      <c r="L575" s="12">
        <v>9.73100532389182</v>
      </c>
      <c r="M575" s="9">
        <v>2.1161237121392373</v>
      </c>
    </row>
    <row r="576">
      <c r="A576" s="10" t="s">
        <v>10</v>
      </c>
      <c r="B576" s="10" t="s">
        <v>38</v>
      </c>
      <c r="C576" s="10" t="s">
        <v>39</v>
      </c>
      <c r="D576" s="10" t="s">
        <v>13</v>
      </c>
      <c r="E576" s="10" t="s">
        <v>14</v>
      </c>
      <c r="F576" s="10">
        <v>170.0</v>
      </c>
      <c r="G576" s="10" t="str">
        <f>IFERROR(VLOOKUP(C576&amp;D576&amp;E576&amp;F576,productID!$A$2:$B$7,2,FALSE))</f>
        <v>SmSwC170</v>
      </c>
      <c r="H576" s="10">
        <v>2022.0</v>
      </c>
      <c r="I576" s="10" t="s">
        <v>54</v>
      </c>
      <c r="J576" s="10">
        <v>26.150978993231888</v>
      </c>
      <c r="K576" s="11">
        <v>16.115244173402726</v>
      </c>
      <c r="L576" s="12">
        <v>10.318378904727062</v>
      </c>
      <c r="M576" s="9">
        <v>2.368193487556217</v>
      </c>
    </row>
    <row r="577">
      <c r="A577" s="10" t="s">
        <v>10</v>
      </c>
      <c r="B577" s="10" t="s">
        <v>38</v>
      </c>
      <c r="C577" s="10" t="s">
        <v>39</v>
      </c>
      <c r="D577" s="10" t="s">
        <v>13</v>
      </c>
      <c r="E577" s="10" t="s">
        <v>14</v>
      </c>
      <c r="F577" s="10">
        <v>170.0</v>
      </c>
      <c r="G577" s="10" t="str">
        <f>IFERROR(VLOOKUP(C577&amp;D577&amp;E577&amp;F577,productID!$A$2:$B$7,2,FALSE))</f>
        <v>SmSwC170</v>
      </c>
      <c r="H577" s="10">
        <v>2023.0</v>
      </c>
      <c r="I577" s="10" t="s">
        <v>51</v>
      </c>
      <c r="J577" s="10">
        <v>24.683059562295</v>
      </c>
      <c r="K577" s="11">
        <v>15.620336041101906</v>
      </c>
      <c r="L577" s="12">
        <v>10.001495736395125</v>
      </c>
      <c r="M577" s="9">
        <v>2.092934739132025</v>
      </c>
    </row>
    <row r="578">
      <c r="A578" s="10" t="s">
        <v>10</v>
      </c>
      <c r="B578" s="10" t="s">
        <v>38</v>
      </c>
      <c r="C578" s="10" t="s">
        <v>39</v>
      </c>
      <c r="D578" s="10" t="s">
        <v>13</v>
      </c>
      <c r="E578" s="10" t="s">
        <v>14</v>
      </c>
      <c r="F578" s="10">
        <v>170.0</v>
      </c>
      <c r="G578" s="10" t="str">
        <f>IFERROR(VLOOKUP(C578&amp;D578&amp;E578&amp;F578,productID!$A$2:$B$7,2,FALSE))</f>
        <v>SmSwC170</v>
      </c>
      <c r="H578" s="10">
        <v>2023.0</v>
      </c>
      <c r="I578" s="10" t="s">
        <v>52</v>
      </c>
      <c r="J578" s="10">
        <v>21.31633676215796</v>
      </c>
      <c r="K578" s="11">
        <v>15.43431611176257</v>
      </c>
      <c r="L578" s="12">
        <v>9.882389622078737</v>
      </c>
      <c r="M578" s="9">
        <v>1.6845873585406395</v>
      </c>
    </row>
    <row r="579">
      <c r="A579" s="10" t="s">
        <v>10</v>
      </c>
      <c r="B579" s="10" t="s">
        <v>38</v>
      </c>
      <c r="C579" s="10" t="s">
        <v>39</v>
      </c>
      <c r="D579" s="10" t="s">
        <v>13</v>
      </c>
      <c r="E579" s="10" t="s">
        <v>14</v>
      </c>
      <c r="F579" s="10">
        <v>170.0</v>
      </c>
      <c r="G579" s="10" t="str">
        <f>IFERROR(VLOOKUP(C579&amp;D579&amp;E579&amp;F579,productID!$A$2:$B$7,2,FALSE))</f>
        <v>SmSwC170</v>
      </c>
      <c r="H579" s="10">
        <v>2023.0</v>
      </c>
      <c r="I579" s="10" t="s">
        <v>53</v>
      </c>
      <c r="J579" s="10">
        <v>23.31805721385814</v>
      </c>
      <c r="K579" s="11">
        <v>16.318175597590642</v>
      </c>
      <c r="L579" s="12">
        <v>10.44831322678361</v>
      </c>
      <c r="M579" s="9">
        <v>1.8888573880360713</v>
      </c>
    </row>
    <row r="580">
      <c r="A580" s="10" t="s">
        <v>10</v>
      </c>
      <c r="B580" s="10" t="s">
        <v>38</v>
      </c>
      <c r="C580" s="10" t="s">
        <v>39</v>
      </c>
      <c r="D580" s="10" t="s">
        <v>13</v>
      </c>
      <c r="E580" s="10" t="s">
        <v>14</v>
      </c>
      <c r="F580" s="10">
        <v>170.0</v>
      </c>
      <c r="G580" s="10" t="str">
        <f>IFERROR(VLOOKUP(C580&amp;D580&amp;E580&amp;F580,productID!$A$2:$B$7,2,FALSE))</f>
        <v>SmSwC170</v>
      </c>
      <c r="H580" s="10">
        <v>2023.0</v>
      </c>
      <c r="I580" s="10" t="s">
        <v>54</v>
      </c>
      <c r="J580" s="10">
        <v>22.004580308868526</v>
      </c>
      <c r="K580" s="11">
        <v>13.857009664457147</v>
      </c>
      <c r="L580" s="12">
        <v>8.87246104780199</v>
      </c>
      <c r="M580" s="9">
        <v>1.8933988520238199</v>
      </c>
    </row>
    <row r="581">
      <c r="A581" s="10" t="s">
        <v>24</v>
      </c>
      <c r="B581" s="10" t="s">
        <v>38</v>
      </c>
      <c r="C581" s="10" t="s">
        <v>39</v>
      </c>
      <c r="D581" s="10" t="s">
        <v>13</v>
      </c>
      <c r="E581" s="10" t="s">
        <v>14</v>
      </c>
      <c r="F581" s="10">
        <v>170.0</v>
      </c>
      <c r="G581" s="10" t="str">
        <f>IFERROR(VLOOKUP(C581&amp;D581&amp;E581&amp;F581,productID!$A$2:$B$7,2,FALSE))</f>
        <v>SmSwC170</v>
      </c>
      <c r="H581" s="10">
        <v>2022.0</v>
      </c>
      <c r="I581" s="10" t="s">
        <v>51</v>
      </c>
      <c r="J581" s="10">
        <v>42.84924966558003</v>
      </c>
      <c r="K581" s="11">
        <v>28.156108714616032</v>
      </c>
      <c r="L581" s="12">
        <v>18.02798611513384</v>
      </c>
      <c r="M581" s="9">
        <v>4.785583892393026</v>
      </c>
    </row>
    <row r="582">
      <c r="A582" s="10" t="s">
        <v>24</v>
      </c>
      <c r="B582" s="10" t="s">
        <v>38</v>
      </c>
      <c r="C582" s="10" t="s">
        <v>39</v>
      </c>
      <c r="D582" s="10" t="s">
        <v>13</v>
      </c>
      <c r="E582" s="10" t="s">
        <v>14</v>
      </c>
      <c r="F582" s="10">
        <v>170.0</v>
      </c>
      <c r="G582" s="10" t="str">
        <f>IFERROR(VLOOKUP(C582&amp;D582&amp;E582&amp;F582,productID!$A$2:$B$7,2,FALSE))</f>
        <v>SmSwC170</v>
      </c>
      <c r="H582" s="10">
        <v>2022.0</v>
      </c>
      <c r="I582" s="10" t="s">
        <v>52</v>
      </c>
      <c r="J582" s="10">
        <v>38.27789831879527</v>
      </c>
      <c r="K582" s="11">
        <v>26.322666593012354</v>
      </c>
      <c r="L582" s="12">
        <v>16.85405723717016</v>
      </c>
      <c r="M582" s="9">
        <v>4.0864935945769005</v>
      </c>
    </row>
    <row r="583">
      <c r="A583" s="10" t="s">
        <v>24</v>
      </c>
      <c r="B583" s="10" t="s">
        <v>38</v>
      </c>
      <c r="C583" s="10" t="s">
        <v>39</v>
      </c>
      <c r="D583" s="10" t="s">
        <v>13</v>
      </c>
      <c r="E583" s="10" t="s">
        <v>14</v>
      </c>
      <c r="F583" s="10">
        <v>170.0</v>
      </c>
      <c r="G583" s="10" t="str">
        <f>IFERROR(VLOOKUP(C583&amp;D583&amp;E583&amp;F583,productID!$A$2:$B$7,2,FALSE))</f>
        <v>SmSwC170</v>
      </c>
      <c r="H583" s="10">
        <v>2022.0</v>
      </c>
      <c r="I583" s="10" t="s">
        <v>53</v>
      </c>
      <c r="J583" s="10">
        <v>42.27403198008802</v>
      </c>
      <c r="K583" s="11">
        <v>26.88529996062268</v>
      </c>
      <c r="L583" s="12">
        <v>17.21430398298289</v>
      </c>
      <c r="M583" s="9">
        <v>4.392661537226959</v>
      </c>
    </row>
    <row r="584">
      <c r="A584" s="10" t="s">
        <v>24</v>
      </c>
      <c r="B584" s="10" t="s">
        <v>38</v>
      </c>
      <c r="C584" s="10" t="s">
        <v>39</v>
      </c>
      <c r="D584" s="10" t="s">
        <v>13</v>
      </c>
      <c r="E584" s="10" t="s">
        <v>14</v>
      </c>
      <c r="F584" s="10">
        <v>170.0</v>
      </c>
      <c r="G584" s="10" t="str">
        <f>IFERROR(VLOOKUP(C584&amp;D584&amp;E584&amp;F584,productID!$A$2:$B$7,2,FALSE))</f>
        <v>SmSwC170</v>
      </c>
      <c r="H584" s="10">
        <v>2022.0</v>
      </c>
      <c r="I584" s="10" t="s">
        <v>54</v>
      </c>
      <c r="J584" s="10">
        <v>42.108975869252994</v>
      </c>
      <c r="K584" s="11">
        <v>29.53110309196811</v>
      </c>
      <c r="L584" s="12">
        <v>18.908376931725</v>
      </c>
      <c r="M584" s="9">
        <v>4.520532096779559</v>
      </c>
    </row>
    <row r="585">
      <c r="A585" s="10" t="s">
        <v>24</v>
      </c>
      <c r="B585" s="10" t="s">
        <v>38</v>
      </c>
      <c r="C585" s="10" t="s">
        <v>39</v>
      </c>
      <c r="D585" s="10" t="s">
        <v>13</v>
      </c>
      <c r="E585" s="10" t="s">
        <v>14</v>
      </c>
      <c r="F585" s="10">
        <v>170.0</v>
      </c>
      <c r="G585" s="10" t="str">
        <f>IFERROR(VLOOKUP(C585&amp;D585&amp;E585&amp;F585,productID!$A$2:$B$7,2,FALSE))</f>
        <v>SmSwC170</v>
      </c>
      <c r="H585" s="10">
        <v>2023.0</v>
      </c>
      <c r="I585" s="10" t="s">
        <v>51</v>
      </c>
      <c r="J585" s="10">
        <v>44.996203498261615</v>
      </c>
      <c r="K585" s="11">
        <v>32.659218277661665</v>
      </c>
      <c r="L585" s="12">
        <v>20.91126794574316</v>
      </c>
      <c r="M585" s="9">
        <v>4.705426726834077</v>
      </c>
    </row>
    <row r="586">
      <c r="A586" s="10" t="s">
        <v>24</v>
      </c>
      <c r="B586" s="10" t="s">
        <v>38</v>
      </c>
      <c r="C586" s="10" t="s">
        <v>39</v>
      </c>
      <c r="D586" s="10" t="s">
        <v>13</v>
      </c>
      <c r="E586" s="10" t="s">
        <v>14</v>
      </c>
      <c r="F586" s="10">
        <v>170.0</v>
      </c>
      <c r="G586" s="10" t="str">
        <f>IFERROR(VLOOKUP(C586&amp;D586&amp;E586&amp;F586,productID!$A$2:$B$7,2,FALSE))</f>
        <v>SmSwC170</v>
      </c>
      <c r="H586" s="10">
        <v>2023.0</v>
      </c>
      <c r="I586" s="10" t="s">
        <v>52</v>
      </c>
      <c r="J586" s="10">
        <v>41.98181283701869</v>
      </c>
      <c r="K586" s="11">
        <v>29.735058453865534</v>
      </c>
      <c r="L586" s="12">
        <v>19.038966867630638</v>
      </c>
      <c r="M586" s="9">
        <v>4.33264289991238</v>
      </c>
    </row>
    <row r="587">
      <c r="A587" s="10" t="s">
        <v>24</v>
      </c>
      <c r="B587" s="10" t="s">
        <v>38</v>
      </c>
      <c r="C587" s="10" t="s">
        <v>39</v>
      </c>
      <c r="D587" s="10" t="s">
        <v>13</v>
      </c>
      <c r="E587" s="10" t="s">
        <v>14</v>
      </c>
      <c r="F587" s="10">
        <v>170.0</v>
      </c>
      <c r="G587" s="10" t="str">
        <f>IFERROR(VLOOKUP(C587&amp;D587&amp;E587&amp;F587,productID!$A$2:$B$7,2,FALSE))</f>
        <v>SmSwC170</v>
      </c>
      <c r="H587" s="10">
        <v>2023.0</v>
      </c>
      <c r="I587" s="10" t="s">
        <v>53</v>
      </c>
      <c r="J587" s="10">
        <v>39.541174947116346</v>
      </c>
      <c r="K587" s="11">
        <v>23.961322756681856</v>
      </c>
      <c r="L587" s="12">
        <v>15.342119833962002</v>
      </c>
      <c r="M587" s="9">
        <v>4.343494758882125</v>
      </c>
    </row>
    <row r="588">
      <c r="A588" s="10" t="s">
        <v>24</v>
      </c>
      <c r="B588" s="10" t="s">
        <v>38</v>
      </c>
      <c r="C588" s="10" t="s">
        <v>39</v>
      </c>
      <c r="D588" s="10" t="s">
        <v>13</v>
      </c>
      <c r="E588" s="10" t="s">
        <v>14</v>
      </c>
      <c r="F588" s="10">
        <v>170.0</v>
      </c>
      <c r="G588" s="10" t="str">
        <f>IFERROR(VLOOKUP(C588&amp;D588&amp;E588&amp;F588,productID!$A$2:$B$7,2,FALSE))</f>
        <v>SmSwC170</v>
      </c>
      <c r="H588" s="10">
        <v>2023.0</v>
      </c>
      <c r="I588" s="10" t="s">
        <v>54</v>
      </c>
      <c r="J588" s="10">
        <v>35.70189781578658</v>
      </c>
      <c r="K588" s="11">
        <v>23.84267558385543</v>
      </c>
      <c r="L588" s="12">
        <v>15.266151609588572</v>
      </c>
      <c r="M588" s="9">
        <v>4.5275495496066895</v>
      </c>
    </row>
    <row r="589">
      <c r="A589" s="10" t="s">
        <v>25</v>
      </c>
      <c r="B589" s="10" t="s">
        <v>38</v>
      </c>
      <c r="C589" s="10" t="s">
        <v>39</v>
      </c>
      <c r="D589" s="10" t="s">
        <v>13</v>
      </c>
      <c r="E589" s="10" t="s">
        <v>14</v>
      </c>
      <c r="F589" s="10">
        <v>170.0</v>
      </c>
      <c r="G589" s="10" t="str">
        <f>IFERROR(VLOOKUP(C589&amp;D589&amp;E589&amp;F589,productID!$A$2:$B$7,2,FALSE))</f>
        <v>SmSwC170</v>
      </c>
      <c r="H589" s="10">
        <v>2022.0</v>
      </c>
      <c r="I589" s="10" t="s">
        <v>51</v>
      </c>
      <c r="J589" s="10">
        <v>55.51479690341817</v>
      </c>
      <c r="K589" s="11">
        <v>39.23016477309536</v>
      </c>
      <c r="L589" s="12">
        <v>25.118558569019953</v>
      </c>
      <c r="M589" s="9">
        <v>5.680756243956527</v>
      </c>
    </row>
    <row r="590">
      <c r="A590" s="10" t="s">
        <v>25</v>
      </c>
      <c r="B590" s="10" t="s">
        <v>38</v>
      </c>
      <c r="C590" s="10" t="s">
        <v>39</v>
      </c>
      <c r="D590" s="10" t="s">
        <v>13</v>
      </c>
      <c r="E590" s="10" t="s">
        <v>14</v>
      </c>
      <c r="F590" s="10">
        <v>170.0</v>
      </c>
      <c r="G590" s="10" t="str">
        <f>IFERROR(VLOOKUP(C590&amp;D590&amp;E590&amp;F590,productID!$A$2:$B$7,2,FALSE))</f>
        <v>SmSwC170</v>
      </c>
      <c r="H590" s="10">
        <v>2022.0</v>
      </c>
      <c r="I590" s="10" t="s">
        <v>52</v>
      </c>
      <c r="J590" s="10">
        <v>55.60939162226772</v>
      </c>
      <c r="K590" s="11">
        <v>35.46642433039257</v>
      </c>
      <c r="L590" s="12">
        <v>22.70868506235918</v>
      </c>
      <c r="M590" s="9">
        <v>5.640305325000883</v>
      </c>
    </row>
    <row r="591">
      <c r="A591" s="10" t="s">
        <v>25</v>
      </c>
      <c r="B591" s="10" t="s">
        <v>38</v>
      </c>
      <c r="C591" s="10" t="s">
        <v>39</v>
      </c>
      <c r="D591" s="10" t="s">
        <v>13</v>
      </c>
      <c r="E591" s="10" t="s">
        <v>14</v>
      </c>
      <c r="F591" s="10">
        <v>170.0</v>
      </c>
      <c r="G591" s="10" t="str">
        <f>IFERROR(VLOOKUP(C591&amp;D591&amp;E591&amp;F591,productID!$A$2:$B$7,2,FALSE))</f>
        <v>SmSwC170</v>
      </c>
      <c r="H591" s="10">
        <v>2022.0</v>
      </c>
      <c r="I591" s="10" t="s">
        <v>53</v>
      </c>
      <c r="J591" s="10">
        <v>62.789211967578275</v>
      </c>
      <c r="K591" s="11">
        <v>45.86876267286881</v>
      </c>
      <c r="L591" s="12">
        <v>29.369165496778596</v>
      </c>
      <c r="M591" s="9">
        <v>6.124109073086357</v>
      </c>
    </row>
    <row r="592">
      <c r="A592" s="10" t="s">
        <v>25</v>
      </c>
      <c r="B592" s="10" t="s">
        <v>38</v>
      </c>
      <c r="C592" s="10" t="s">
        <v>39</v>
      </c>
      <c r="D592" s="10" t="s">
        <v>13</v>
      </c>
      <c r="E592" s="10" t="s">
        <v>14</v>
      </c>
      <c r="F592" s="10">
        <v>170.0</v>
      </c>
      <c r="G592" s="10" t="str">
        <f>IFERROR(VLOOKUP(C592&amp;D592&amp;E592&amp;F592,productID!$A$2:$B$7,2,FALSE))</f>
        <v>SmSwC170</v>
      </c>
      <c r="H592" s="10">
        <v>2022.0</v>
      </c>
      <c r="I592" s="10" t="s">
        <v>54</v>
      </c>
      <c r="J592" s="10">
        <v>53.032454963578665</v>
      </c>
      <c r="K592" s="11">
        <v>34.97764403181801</v>
      </c>
      <c r="L592" s="12">
        <v>22.395725465372013</v>
      </c>
      <c r="M592" s="9">
        <v>5.102348070759817</v>
      </c>
    </row>
    <row r="593">
      <c r="A593" s="10" t="s">
        <v>25</v>
      </c>
      <c r="B593" s="10" t="s">
        <v>38</v>
      </c>
      <c r="C593" s="10" t="s">
        <v>39</v>
      </c>
      <c r="D593" s="10" t="s">
        <v>13</v>
      </c>
      <c r="E593" s="10" t="s">
        <v>14</v>
      </c>
      <c r="F593" s="10">
        <v>170.0</v>
      </c>
      <c r="G593" s="10" t="str">
        <f>IFERROR(VLOOKUP(C593&amp;D593&amp;E593&amp;F593,productID!$A$2:$B$7,2,FALSE))</f>
        <v>SmSwC170</v>
      </c>
      <c r="H593" s="10">
        <v>2023.0</v>
      </c>
      <c r="I593" s="10" t="s">
        <v>51</v>
      </c>
      <c r="J593" s="10">
        <v>50.26434907438719</v>
      </c>
      <c r="K593" s="11">
        <v>32.241100814791814</v>
      </c>
      <c r="L593" s="12">
        <v>20.643552833136006</v>
      </c>
      <c r="M593" s="9">
        <v>4.577224349805996</v>
      </c>
    </row>
    <row r="594">
      <c r="A594" s="10" t="s">
        <v>25</v>
      </c>
      <c r="B594" s="10" t="s">
        <v>38</v>
      </c>
      <c r="C594" s="10" t="s">
        <v>39</v>
      </c>
      <c r="D594" s="10" t="s">
        <v>13</v>
      </c>
      <c r="E594" s="10" t="s">
        <v>14</v>
      </c>
      <c r="F594" s="10">
        <v>170.0</v>
      </c>
      <c r="G594" s="10" t="str">
        <f>IFERROR(VLOOKUP(C594&amp;D594&amp;E594&amp;F594,productID!$A$2:$B$7,2,FALSE))</f>
        <v>SmSwC170</v>
      </c>
      <c r="H594" s="10">
        <v>2023.0</v>
      </c>
      <c r="I594" s="10" t="s">
        <v>52</v>
      </c>
      <c r="J594" s="10">
        <v>48.925074679374426</v>
      </c>
      <c r="K594" s="11">
        <v>36.22885467802682</v>
      </c>
      <c r="L594" s="12">
        <v>23.196859186852876</v>
      </c>
      <c r="M594" s="9">
        <v>4.3927807871946385</v>
      </c>
    </row>
    <row r="595">
      <c r="A595" s="10" t="s">
        <v>25</v>
      </c>
      <c r="B595" s="10" t="s">
        <v>38</v>
      </c>
      <c r="C595" s="10" t="s">
        <v>39</v>
      </c>
      <c r="D595" s="10" t="s">
        <v>13</v>
      </c>
      <c r="E595" s="10" t="s">
        <v>14</v>
      </c>
      <c r="F595" s="10">
        <v>170.0</v>
      </c>
      <c r="G595" s="10" t="str">
        <f>IFERROR(VLOOKUP(C595&amp;D595&amp;E595&amp;F595,productID!$A$2:$B$7,2,FALSE))</f>
        <v>SmSwC170</v>
      </c>
      <c r="H595" s="10">
        <v>2023.0</v>
      </c>
      <c r="I595" s="10" t="s">
        <v>53</v>
      </c>
      <c r="J595" s="10">
        <v>48.14907132420701</v>
      </c>
      <c r="K595" s="11">
        <v>34.89715890374227</v>
      </c>
      <c r="L595" s="12">
        <v>22.344191896364624</v>
      </c>
      <c r="M595" s="9">
        <v>4.5888949356757625</v>
      </c>
    </row>
    <row r="596">
      <c r="A596" s="10" t="s">
        <v>25</v>
      </c>
      <c r="B596" s="10" t="s">
        <v>38</v>
      </c>
      <c r="C596" s="10" t="s">
        <v>39</v>
      </c>
      <c r="D596" s="10" t="s">
        <v>13</v>
      </c>
      <c r="E596" s="10" t="s">
        <v>14</v>
      </c>
      <c r="F596" s="10">
        <v>170.0</v>
      </c>
      <c r="G596" s="10" t="str">
        <f>IFERROR(VLOOKUP(C596&amp;D596&amp;E596&amp;F596,productID!$A$2:$B$7,2,FALSE))</f>
        <v>SmSwC170</v>
      </c>
      <c r="H596" s="10">
        <v>2023.0</v>
      </c>
      <c r="I596" s="10" t="s">
        <v>54</v>
      </c>
      <c r="J596" s="10">
        <v>48.768668431918826</v>
      </c>
      <c r="K596" s="11">
        <v>30.502540100480136</v>
      </c>
      <c r="L596" s="12">
        <v>19.530375272429335</v>
      </c>
      <c r="M596" s="9">
        <v>4.963709803009067</v>
      </c>
    </row>
    <row r="597">
      <c r="A597" s="10" t="s">
        <v>26</v>
      </c>
      <c r="B597" s="10" t="s">
        <v>38</v>
      </c>
      <c r="C597" s="10" t="s">
        <v>39</v>
      </c>
      <c r="D597" s="10" t="s">
        <v>13</v>
      </c>
      <c r="E597" s="10" t="s">
        <v>14</v>
      </c>
      <c r="F597" s="10">
        <v>170.0</v>
      </c>
      <c r="G597" s="10" t="str">
        <f>IFERROR(VLOOKUP(C597&amp;D597&amp;E597&amp;F597,productID!$A$2:$B$7,2,FALSE))</f>
        <v>SmSwC170</v>
      </c>
      <c r="H597" s="10">
        <v>2022.0</v>
      </c>
      <c r="I597" s="10" t="s">
        <v>51</v>
      </c>
      <c r="J597" s="10">
        <v>44.57436219260806</v>
      </c>
      <c r="K597" s="11">
        <v>31.058431842587165</v>
      </c>
      <c r="L597" s="12">
        <v>19.88630544409474</v>
      </c>
      <c r="M597" s="9">
        <v>2.1578237312937265</v>
      </c>
    </row>
    <row r="598">
      <c r="A598" s="10" t="s">
        <v>26</v>
      </c>
      <c r="B598" s="10" t="s">
        <v>38</v>
      </c>
      <c r="C598" s="10" t="s">
        <v>39</v>
      </c>
      <c r="D598" s="10" t="s">
        <v>13</v>
      </c>
      <c r="E598" s="10" t="s">
        <v>14</v>
      </c>
      <c r="F598" s="10">
        <v>170.0</v>
      </c>
      <c r="G598" s="10" t="str">
        <f>IFERROR(VLOOKUP(C598&amp;D598&amp;E598&amp;F598,productID!$A$2:$B$7,2,FALSE))</f>
        <v>SmSwC170</v>
      </c>
      <c r="H598" s="10">
        <v>2022.0</v>
      </c>
      <c r="I598" s="10" t="s">
        <v>52</v>
      </c>
      <c r="J598" s="10">
        <v>46.42323295773365</v>
      </c>
      <c r="K598" s="11">
        <v>28.257179037009347</v>
      </c>
      <c r="L598" s="12">
        <v>18.092700113336758</v>
      </c>
      <c r="M598" s="9">
        <v>2.210659231940934</v>
      </c>
    </row>
    <row r="599">
      <c r="A599" s="10" t="s">
        <v>26</v>
      </c>
      <c r="B599" s="10" t="s">
        <v>38</v>
      </c>
      <c r="C599" s="10" t="s">
        <v>39</v>
      </c>
      <c r="D599" s="10" t="s">
        <v>13</v>
      </c>
      <c r="E599" s="10" t="s">
        <v>14</v>
      </c>
      <c r="F599" s="10">
        <v>170.0</v>
      </c>
      <c r="G599" s="10" t="str">
        <f>IFERROR(VLOOKUP(C599&amp;D599&amp;E599&amp;F599,productID!$A$2:$B$7,2,FALSE))</f>
        <v>SmSwC170</v>
      </c>
      <c r="H599" s="10">
        <v>2022.0</v>
      </c>
      <c r="I599" s="10" t="s">
        <v>53</v>
      </c>
      <c r="J599" s="10">
        <v>48.69531668101522</v>
      </c>
      <c r="K599" s="11">
        <v>33.103096024079946</v>
      </c>
      <c r="L599" s="12">
        <v>21.195477029120212</v>
      </c>
      <c r="M599" s="9">
        <v>2.324928520861439</v>
      </c>
    </row>
    <row r="600">
      <c r="A600" s="10" t="s">
        <v>26</v>
      </c>
      <c r="B600" s="10" t="s">
        <v>38</v>
      </c>
      <c r="C600" s="10" t="s">
        <v>39</v>
      </c>
      <c r="D600" s="10" t="s">
        <v>13</v>
      </c>
      <c r="E600" s="10" t="s">
        <v>14</v>
      </c>
      <c r="F600" s="10">
        <v>170.0</v>
      </c>
      <c r="G600" s="10" t="str">
        <f>IFERROR(VLOOKUP(C600&amp;D600&amp;E600&amp;F600,productID!$A$2:$B$7,2,FALSE))</f>
        <v>SmSwC170</v>
      </c>
      <c r="H600" s="10">
        <v>2022.0</v>
      </c>
      <c r="I600" s="10" t="s">
        <v>54</v>
      </c>
      <c r="J600" s="10">
        <v>44.22736332728754</v>
      </c>
      <c r="K600" s="11">
        <v>31.512789727988327</v>
      </c>
      <c r="L600" s="12">
        <v>20.177224822633068</v>
      </c>
      <c r="M600" s="9">
        <v>2.071709347585667</v>
      </c>
    </row>
    <row r="601">
      <c r="A601" s="10" t="s">
        <v>26</v>
      </c>
      <c r="B601" s="10" t="s">
        <v>38</v>
      </c>
      <c r="C601" s="10" t="s">
        <v>39</v>
      </c>
      <c r="D601" s="10" t="s">
        <v>13</v>
      </c>
      <c r="E601" s="10" t="s">
        <v>14</v>
      </c>
      <c r="F601" s="10">
        <v>170.0</v>
      </c>
      <c r="G601" s="10" t="str">
        <f>IFERROR(VLOOKUP(C601&amp;D601&amp;E601&amp;F601,productID!$A$2:$B$7,2,FALSE))</f>
        <v>SmSwC170</v>
      </c>
      <c r="H601" s="10">
        <v>2023.0</v>
      </c>
      <c r="I601" s="10" t="s">
        <v>51</v>
      </c>
      <c r="J601" s="10">
        <v>41.01142626180077</v>
      </c>
      <c r="K601" s="11">
        <v>27.01954141792476</v>
      </c>
      <c r="L601" s="12">
        <v>17.300257022617977</v>
      </c>
      <c r="M601" s="9">
        <v>1.9020824792254323</v>
      </c>
    </row>
    <row r="602">
      <c r="A602" s="10" t="s">
        <v>26</v>
      </c>
      <c r="B602" s="10" t="s">
        <v>38</v>
      </c>
      <c r="C602" s="10" t="s">
        <v>39</v>
      </c>
      <c r="D602" s="10" t="s">
        <v>13</v>
      </c>
      <c r="E602" s="10" t="s">
        <v>14</v>
      </c>
      <c r="F602" s="10">
        <v>170.0</v>
      </c>
      <c r="G602" s="10" t="str">
        <f>IFERROR(VLOOKUP(C602&amp;D602&amp;E602&amp;F602,productID!$A$2:$B$7,2,FALSE))</f>
        <v>SmSwC170</v>
      </c>
      <c r="H602" s="10">
        <v>2023.0</v>
      </c>
      <c r="I602" s="10" t="s">
        <v>52</v>
      </c>
      <c r="J602" s="10">
        <v>35.981946224004886</v>
      </c>
      <c r="K602" s="11">
        <v>21.615452295347943</v>
      </c>
      <c r="L602" s="12">
        <v>13.840089829266194</v>
      </c>
      <c r="M602" s="9">
        <v>1.614787409995835</v>
      </c>
    </row>
    <row r="603">
      <c r="A603" s="10" t="s">
        <v>26</v>
      </c>
      <c r="B603" s="10" t="s">
        <v>38</v>
      </c>
      <c r="C603" s="10" t="s">
        <v>39</v>
      </c>
      <c r="D603" s="10" t="s">
        <v>13</v>
      </c>
      <c r="E603" s="10" t="s">
        <v>14</v>
      </c>
      <c r="F603" s="10">
        <v>170.0</v>
      </c>
      <c r="G603" s="10" t="str">
        <f>IFERROR(VLOOKUP(C603&amp;D603&amp;E603&amp;F603,productID!$A$2:$B$7,2,FALSE))</f>
        <v>SmSwC170</v>
      </c>
      <c r="H603" s="10">
        <v>2023.0</v>
      </c>
      <c r="I603" s="10" t="s">
        <v>53</v>
      </c>
      <c r="J603" s="10">
        <v>36.124176257027784</v>
      </c>
      <c r="K603" s="11">
        <v>23.629894862922914</v>
      </c>
      <c r="L603" s="12">
        <v>15.129910912359403</v>
      </c>
      <c r="M603" s="9">
        <v>1.6576197715486234</v>
      </c>
    </row>
    <row r="604">
      <c r="A604" s="10" t="s">
        <v>26</v>
      </c>
      <c r="B604" s="10" t="s">
        <v>38</v>
      </c>
      <c r="C604" s="10" t="s">
        <v>39</v>
      </c>
      <c r="D604" s="10" t="s">
        <v>13</v>
      </c>
      <c r="E604" s="10" t="s">
        <v>14</v>
      </c>
      <c r="F604" s="10">
        <v>170.0</v>
      </c>
      <c r="G604" s="10" t="str">
        <f>IFERROR(VLOOKUP(C604&amp;D604&amp;E604&amp;F604,productID!$A$2:$B$7,2,FALSE))</f>
        <v>SmSwC170</v>
      </c>
      <c r="H604" s="10">
        <v>2023.0</v>
      </c>
      <c r="I604" s="10" t="s">
        <v>54</v>
      </c>
      <c r="J604" s="10">
        <v>40.21054288094002</v>
      </c>
      <c r="K604" s="11">
        <v>28.334586575657802</v>
      </c>
      <c r="L604" s="12">
        <v>18.142263142308746</v>
      </c>
      <c r="M604" s="9">
        <v>1.912256792190891</v>
      </c>
    </row>
    <row r="605">
      <c r="A605" s="10" t="s">
        <v>10</v>
      </c>
      <c r="B605" s="10" t="s">
        <v>38</v>
      </c>
      <c r="C605" s="10" t="s">
        <v>40</v>
      </c>
      <c r="D605" s="10" t="s">
        <v>31</v>
      </c>
      <c r="E605" s="10" t="s">
        <v>14</v>
      </c>
      <c r="F605" s="10">
        <v>180.0</v>
      </c>
      <c r="G605" s="10" t="str">
        <f>IFERROR(VLOOKUP(C605&amp;D605&amp;E605&amp;F605,productID!$A$2:$B$7,2,FALSE))</f>
        <v>StStrC180</v>
      </c>
      <c r="H605" s="10">
        <v>2022.0</v>
      </c>
      <c r="I605" s="10" t="s">
        <v>51</v>
      </c>
      <c r="J605" s="10">
        <v>16.776861119717623</v>
      </c>
      <c r="K605" s="11">
        <v>11.405977483168408</v>
      </c>
      <c r="L605" s="12">
        <v>5.204644071717276</v>
      </c>
      <c r="M605" s="9">
        <v>1.4702908600772762</v>
      </c>
    </row>
    <row r="606">
      <c r="A606" s="10" t="s">
        <v>10</v>
      </c>
      <c r="B606" s="10" t="s">
        <v>38</v>
      </c>
      <c r="C606" s="10" t="s">
        <v>40</v>
      </c>
      <c r="D606" s="10" t="s">
        <v>31</v>
      </c>
      <c r="E606" s="10" t="s">
        <v>14</v>
      </c>
      <c r="F606" s="10">
        <v>180.0</v>
      </c>
      <c r="G606" s="10" t="str">
        <f>IFERROR(VLOOKUP(C606&amp;D606&amp;E606&amp;F606,productID!$A$2:$B$7,2,FALSE))</f>
        <v>StStrC180</v>
      </c>
      <c r="H606" s="10">
        <v>2022.0</v>
      </c>
      <c r="I606" s="10" t="s">
        <v>52</v>
      </c>
      <c r="J606" s="10">
        <v>19.781912496310767</v>
      </c>
      <c r="K606" s="11">
        <v>12.51875586315713</v>
      </c>
      <c r="L606" s="12">
        <v>5.712414265643226</v>
      </c>
      <c r="M606" s="9">
        <v>1.7264857683220738</v>
      </c>
    </row>
    <row r="607">
      <c r="A607" s="10" t="s">
        <v>10</v>
      </c>
      <c r="B607" s="10" t="s">
        <v>38</v>
      </c>
      <c r="C607" s="10" t="s">
        <v>40</v>
      </c>
      <c r="D607" s="10" t="s">
        <v>31</v>
      </c>
      <c r="E607" s="10" t="s">
        <v>14</v>
      </c>
      <c r="F607" s="10">
        <v>180.0</v>
      </c>
      <c r="G607" s="10" t="str">
        <f>IFERROR(VLOOKUP(C607&amp;D607&amp;E607&amp;F607,productID!$A$2:$B$7,2,FALSE))</f>
        <v>StStrC180</v>
      </c>
      <c r="H607" s="10">
        <v>2022.0</v>
      </c>
      <c r="I607" s="10" t="s">
        <v>53</v>
      </c>
      <c r="J607" s="10">
        <v>17.87067466964527</v>
      </c>
      <c r="K607" s="11">
        <v>11.572652538410683</v>
      </c>
      <c r="L607" s="12">
        <v>5.280699310249</v>
      </c>
      <c r="M607" s="9">
        <v>1.5621003153586692</v>
      </c>
    </row>
    <row r="608">
      <c r="A608" s="10" t="s">
        <v>10</v>
      </c>
      <c r="B608" s="10" t="s">
        <v>38</v>
      </c>
      <c r="C608" s="10" t="s">
        <v>40</v>
      </c>
      <c r="D608" s="10" t="s">
        <v>31</v>
      </c>
      <c r="E608" s="10" t="s">
        <v>14</v>
      </c>
      <c r="F608" s="10">
        <v>180.0</v>
      </c>
      <c r="G608" s="10" t="str">
        <f>IFERROR(VLOOKUP(C608&amp;D608&amp;E608&amp;F608,productID!$A$2:$B$7,2,FALSE))</f>
        <v>StStrC180</v>
      </c>
      <c r="H608" s="10">
        <v>2022.0</v>
      </c>
      <c r="I608" s="10" t="s">
        <v>54</v>
      </c>
      <c r="J608" s="10">
        <v>15.417940583080977</v>
      </c>
      <c r="K608" s="11">
        <v>9.278846213856458</v>
      </c>
      <c r="L608" s="12">
        <v>4.23401606838077</v>
      </c>
      <c r="M608" s="9">
        <v>1.3962256055435205</v>
      </c>
    </row>
    <row r="609">
      <c r="A609" s="10" t="s">
        <v>10</v>
      </c>
      <c r="B609" s="10" t="s">
        <v>38</v>
      </c>
      <c r="C609" s="10" t="s">
        <v>40</v>
      </c>
      <c r="D609" s="10" t="s">
        <v>31</v>
      </c>
      <c r="E609" s="10" t="s">
        <v>14</v>
      </c>
      <c r="F609" s="10">
        <v>180.0</v>
      </c>
      <c r="G609" s="10" t="str">
        <f>IFERROR(VLOOKUP(C609&amp;D609&amp;E609&amp;F609,productID!$A$2:$B$7,2,FALSE))</f>
        <v>StStrC180</v>
      </c>
      <c r="H609" s="10">
        <v>2023.0</v>
      </c>
      <c r="I609" s="10" t="s">
        <v>51</v>
      </c>
      <c r="J609" s="10">
        <v>14.164808661780171</v>
      </c>
      <c r="K609" s="11">
        <v>8.67295482772769</v>
      </c>
      <c r="L609" s="12">
        <v>3.957542700309235</v>
      </c>
      <c r="M609" s="9">
        <v>1.201067478955655</v>
      </c>
    </row>
    <row r="610">
      <c r="A610" s="10" t="s">
        <v>10</v>
      </c>
      <c r="B610" s="10" t="s">
        <v>38</v>
      </c>
      <c r="C610" s="10" t="s">
        <v>40</v>
      </c>
      <c r="D610" s="10" t="s">
        <v>31</v>
      </c>
      <c r="E610" s="10" t="s">
        <v>14</v>
      </c>
      <c r="F610" s="10">
        <v>180.0</v>
      </c>
      <c r="G610" s="10" t="str">
        <f>IFERROR(VLOOKUP(C610&amp;D610&amp;E610&amp;F610,productID!$A$2:$B$7,2,FALSE))</f>
        <v>StStrC180</v>
      </c>
      <c r="H610" s="10">
        <v>2023.0</v>
      </c>
      <c r="I610" s="10" t="s">
        <v>52</v>
      </c>
      <c r="J610" s="10">
        <v>13.026621286278342</v>
      </c>
      <c r="K610" s="11">
        <v>8.401695455672428</v>
      </c>
      <c r="L610" s="12">
        <v>3.833764752759493</v>
      </c>
      <c r="M610" s="9">
        <v>1.0294677640070906</v>
      </c>
    </row>
    <row r="611">
      <c r="A611" s="10" t="s">
        <v>10</v>
      </c>
      <c r="B611" s="10" t="s">
        <v>38</v>
      </c>
      <c r="C611" s="10" t="s">
        <v>40</v>
      </c>
      <c r="D611" s="10" t="s">
        <v>31</v>
      </c>
      <c r="E611" s="10" t="s">
        <v>14</v>
      </c>
      <c r="F611" s="10">
        <v>180.0</v>
      </c>
      <c r="G611" s="10" t="str">
        <f>IFERROR(VLOOKUP(C611&amp;D611&amp;E611&amp;F611,productID!$A$2:$B$7,2,FALSE))</f>
        <v>StStrC180</v>
      </c>
      <c r="H611" s="10">
        <v>2023.0</v>
      </c>
      <c r="I611" s="10" t="s">
        <v>53</v>
      </c>
      <c r="J611" s="10">
        <v>12.423009663228896</v>
      </c>
      <c r="K611" s="11">
        <v>8.235128629890543</v>
      </c>
      <c r="L611" s="12">
        <v>3.757758900246654</v>
      </c>
      <c r="M611" s="9">
        <v>1.0063142640411642</v>
      </c>
    </row>
    <row r="612">
      <c r="A612" s="10" t="s">
        <v>10</v>
      </c>
      <c r="B612" s="10" t="s">
        <v>38</v>
      </c>
      <c r="C612" s="10" t="s">
        <v>40</v>
      </c>
      <c r="D612" s="10" t="s">
        <v>31</v>
      </c>
      <c r="E612" s="10" t="s">
        <v>14</v>
      </c>
      <c r="F612" s="10">
        <v>180.0</v>
      </c>
      <c r="G612" s="10" t="str">
        <f>IFERROR(VLOOKUP(C612&amp;D612&amp;E612&amp;F612,productID!$A$2:$B$7,2,FALSE))</f>
        <v>StStrC180</v>
      </c>
      <c r="H612" s="10">
        <v>2023.0</v>
      </c>
      <c r="I612" s="10" t="s">
        <v>54</v>
      </c>
      <c r="J612" s="10">
        <v>13.715588239834752</v>
      </c>
      <c r="K612" s="11">
        <v>9.024843056114877</v>
      </c>
      <c r="L612" s="12">
        <v>4.118112277487966</v>
      </c>
      <c r="M612" s="9">
        <v>1.1801669772210188</v>
      </c>
    </row>
    <row r="613">
      <c r="A613" s="10" t="s">
        <v>24</v>
      </c>
      <c r="B613" s="10" t="s">
        <v>38</v>
      </c>
      <c r="C613" s="10" t="s">
        <v>40</v>
      </c>
      <c r="D613" s="10" t="s">
        <v>31</v>
      </c>
      <c r="E613" s="10" t="s">
        <v>14</v>
      </c>
      <c r="F613" s="10">
        <v>180.0</v>
      </c>
      <c r="G613" s="10" t="str">
        <f>IFERROR(VLOOKUP(C613&amp;D613&amp;E613&amp;F613,productID!$A$2:$B$7,2,FALSE))</f>
        <v>StStrC180</v>
      </c>
      <c r="H613" s="10">
        <v>2022.0</v>
      </c>
      <c r="I613" s="10" t="s">
        <v>51</v>
      </c>
      <c r="J613" s="10">
        <v>29.111952217164678</v>
      </c>
      <c r="K613" s="11">
        <v>18.617170105424087</v>
      </c>
      <c r="L613" s="12">
        <v>8.495172304551259</v>
      </c>
      <c r="M613" s="9">
        <v>3.2513449055442836</v>
      </c>
    </row>
    <row r="614">
      <c r="A614" s="10" t="s">
        <v>24</v>
      </c>
      <c r="B614" s="10" t="s">
        <v>38</v>
      </c>
      <c r="C614" s="10" t="s">
        <v>40</v>
      </c>
      <c r="D614" s="10" t="s">
        <v>31</v>
      </c>
      <c r="E614" s="10" t="s">
        <v>14</v>
      </c>
      <c r="F614" s="10">
        <v>180.0</v>
      </c>
      <c r="G614" s="10" t="str">
        <f>IFERROR(VLOOKUP(C614&amp;D614&amp;E614&amp;F614,productID!$A$2:$B$7,2,FALSE))</f>
        <v>StStrC180</v>
      </c>
      <c r="H614" s="10">
        <v>2022.0</v>
      </c>
      <c r="I614" s="10" t="s">
        <v>52</v>
      </c>
      <c r="J614" s="10">
        <v>34.795887323603026</v>
      </c>
      <c r="K614" s="11">
        <v>23.223532939897368</v>
      </c>
      <c r="L614" s="12">
        <v>10.59709465658105</v>
      </c>
      <c r="M614" s="9">
        <v>3.7147590884242314</v>
      </c>
    </row>
    <row r="615">
      <c r="A615" s="10" t="s">
        <v>24</v>
      </c>
      <c r="B615" s="10" t="s">
        <v>38</v>
      </c>
      <c r="C615" s="10" t="s">
        <v>40</v>
      </c>
      <c r="D615" s="10" t="s">
        <v>31</v>
      </c>
      <c r="E615" s="10" t="s">
        <v>14</v>
      </c>
      <c r="F615" s="10">
        <v>180.0</v>
      </c>
      <c r="G615" s="10" t="str">
        <f>IFERROR(VLOOKUP(C615&amp;D615&amp;E615&amp;F615,productID!$A$2:$B$7,2,FALSE))</f>
        <v>StStrC180</v>
      </c>
      <c r="H615" s="10">
        <v>2022.0</v>
      </c>
      <c r="I615" s="10" t="s">
        <v>53</v>
      </c>
      <c r="J615" s="10">
        <v>34.30182827795797</v>
      </c>
      <c r="K615" s="11">
        <v>21.560089967933216</v>
      </c>
      <c r="L615" s="12">
        <v>9.838051548224147</v>
      </c>
      <c r="M615" s="9">
        <v>3.56427609753718</v>
      </c>
    </row>
    <row r="616">
      <c r="A616" s="10" t="s">
        <v>24</v>
      </c>
      <c r="B616" s="10" t="s">
        <v>38</v>
      </c>
      <c r="C616" s="10" t="s">
        <v>40</v>
      </c>
      <c r="D616" s="10" t="s">
        <v>31</v>
      </c>
      <c r="E616" s="10" t="s">
        <v>14</v>
      </c>
      <c r="F616" s="10">
        <v>180.0</v>
      </c>
      <c r="G616" s="10" t="str">
        <f>IFERROR(VLOOKUP(C616&amp;D616&amp;E616&amp;F616,productID!$A$2:$B$7,2,FALSE))</f>
        <v>StStrC180</v>
      </c>
      <c r="H616" s="10">
        <v>2022.0</v>
      </c>
      <c r="I616" s="10" t="s">
        <v>54</v>
      </c>
      <c r="J616" s="10">
        <v>33.03205715593076</v>
      </c>
      <c r="K616" s="11">
        <v>21.402416975086204</v>
      </c>
      <c r="L616" s="12">
        <v>9.766104026961536</v>
      </c>
      <c r="M616" s="9">
        <v>3.546096087914447</v>
      </c>
    </row>
    <row r="617">
      <c r="A617" s="10" t="s">
        <v>24</v>
      </c>
      <c r="B617" s="10" t="s">
        <v>38</v>
      </c>
      <c r="C617" s="10" t="s">
        <v>40</v>
      </c>
      <c r="D617" s="10" t="s">
        <v>31</v>
      </c>
      <c r="E617" s="10" t="s">
        <v>14</v>
      </c>
      <c r="F617" s="10">
        <v>180.0</v>
      </c>
      <c r="G617" s="10" t="str">
        <f>IFERROR(VLOOKUP(C617&amp;D617&amp;E617&amp;F617,productID!$A$2:$B$7,2,FALSE))</f>
        <v>StStrC180</v>
      </c>
      <c r="H617" s="10">
        <v>2023.0</v>
      </c>
      <c r="I617" s="10" t="s">
        <v>51</v>
      </c>
      <c r="J617" s="10">
        <v>27.807469067806185</v>
      </c>
      <c r="K617" s="11">
        <v>20.418169118687683</v>
      </c>
      <c r="L617" s="12">
        <v>9.31698339889924</v>
      </c>
      <c r="M617" s="9">
        <v>2.9079344030062937</v>
      </c>
    </row>
    <row r="618">
      <c r="A618" s="10" t="s">
        <v>24</v>
      </c>
      <c r="B618" s="10" t="s">
        <v>38</v>
      </c>
      <c r="C618" s="10" t="s">
        <v>40</v>
      </c>
      <c r="D618" s="10" t="s">
        <v>31</v>
      </c>
      <c r="E618" s="10" t="s">
        <v>14</v>
      </c>
      <c r="F618" s="10">
        <v>180.0</v>
      </c>
      <c r="G618" s="10" t="str">
        <f>IFERROR(VLOOKUP(C618&amp;D618&amp;E618&amp;F618,productID!$A$2:$B$7,2,FALSE))</f>
        <v>StStrC180</v>
      </c>
      <c r="H618" s="10">
        <v>2023.0</v>
      </c>
      <c r="I618" s="10" t="s">
        <v>52</v>
      </c>
      <c r="J618" s="10">
        <v>23.630112828438428</v>
      </c>
      <c r="K618" s="11">
        <v>14.880546690179626</v>
      </c>
      <c r="L618" s="12">
        <v>6.790119411444046</v>
      </c>
      <c r="M618" s="9">
        <v>2.4386950836955026</v>
      </c>
    </row>
    <row r="619">
      <c r="A619" s="10" t="s">
        <v>24</v>
      </c>
      <c r="B619" s="10" t="s">
        <v>38</v>
      </c>
      <c r="C619" s="10" t="s">
        <v>40</v>
      </c>
      <c r="D619" s="10" t="s">
        <v>31</v>
      </c>
      <c r="E619" s="10" t="s">
        <v>14</v>
      </c>
      <c r="F619" s="10">
        <v>180.0</v>
      </c>
      <c r="G619" s="10" t="str">
        <f>IFERROR(VLOOKUP(C619&amp;D619&amp;E619&amp;F619,productID!$A$2:$B$7,2,FALSE))</f>
        <v>StStrC180</v>
      </c>
      <c r="H619" s="10">
        <v>2023.0</v>
      </c>
      <c r="I619" s="10" t="s">
        <v>53</v>
      </c>
      <c r="J619" s="10">
        <v>30.74640816700411</v>
      </c>
      <c r="K619" s="11">
        <v>19.427329700597078</v>
      </c>
      <c r="L619" s="12">
        <v>8.864854985442426</v>
      </c>
      <c r="M619" s="9">
        <v>3.377412606136333</v>
      </c>
    </row>
    <row r="620">
      <c r="A620" s="10" t="s">
        <v>24</v>
      </c>
      <c r="B620" s="10" t="s">
        <v>38</v>
      </c>
      <c r="C620" s="10" t="s">
        <v>40</v>
      </c>
      <c r="D620" s="10" t="s">
        <v>31</v>
      </c>
      <c r="E620" s="10" t="s">
        <v>14</v>
      </c>
      <c r="F620" s="10">
        <v>180.0</v>
      </c>
      <c r="G620" s="10" t="str">
        <f>IFERROR(VLOOKUP(C620&amp;D620&amp;E620&amp;F620,productID!$A$2:$B$7,2,FALSE))</f>
        <v>StStrC180</v>
      </c>
      <c r="H620" s="10">
        <v>2023.0</v>
      </c>
      <c r="I620" s="10" t="s">
        <v>54</v>
      </c>
      <c r="J620" s="10">
        <v>19.788468871918013</v>
      </c>
      <c r="K620" s="11">
        <v>14.213918751134484</v>
      </c>
      <c r="L620" s="12">
        <v>6.485931440170881</v>
      </c>
      <c r="M620" s="9">
        <v>2.5094820950622476</v>
      </c>
    </row>
    <row r="621">
      <c r="A621" s="10" t="s">
        <v>25</v>
      </c>
      <c r="B621" s="10" t="s">
        <v>38</v>
      </c>
      <c r="C621" s="10" t="s">
        <v>40</v>
      </c>
      <c r="D621" s="10" t="s">
        <v>31</v>
      </c>
      <c r="E621" s="10" t="s">
        <v>14</v>
      </c>
      <c r="F621" s="10">
        <v>180.0</v>
      </c>
      <c r="G621" s="10" t="str">
        <f>IFERROR(VLOOKUP(C621&amp;D621&amp;E621&amp;F621,productID!$A$2:$B$7,2,FALSE))</f>
        <v>StStrC180</v>
      </c>
      <c r="H621" s="10">
        <v>2022.0</v>
      </c>
      <c r="I621" s="10" t="s">
        <v>51</v>
      </c>
      <c r="J621" s="10">
        <v>6.7705433684409195</v>
      </c>
      <c r="K621" s="11">
        <v>5.071470788788975</v>
      </c>
      <c r="L621" s="12">
        <v>2.314155048500559</v>
      </c>
      <c r="M621" s="9">
        <v>0.6928208092369158</v>
      </c>
    </row>
    <row r="622">
      <c r="A622" s="10" t="s">
        <v>25</v>
      </c>
      <c r="B622" s="10" t="s">
        <v>38</v>
      </c>
      <c r="C622" s="10" t="s">
        <v>40</v>
      </c>
      <c r="D622" s="10" t="s">
        <v>31</v>
      </c>
      <c r="E622" s="10" t="s">
        <v>14</v>
      </c>
      <c r="F622" s="10">
        <v>180.0</v>
      </c>
      <c r="G622" s="10" t="str">
        <f>IFERROR(VLOOKUP(C622&amp;D622&amp;E622&amp;F622,productID!$A$2:$B$7,2,FALSE))</f>
        <v>StStrC180</v>
      </c>
      <c r="H622" s="10">
        <v>2022.0</v>
      </c>
      <c r="I622" s="10" t="s">
        <v>52</v>
      </c>
      <c r="J622" s="10">
        <v>9.564772168456587</v>
      </c>
      <c r="K622" s="11">
        <v>6.670732750037665</v>
      </c>
      <c r="L622" s="12">
        <v>3.043911818406418</v>
      </c>
      <c r="M622" s="9">
        <v>0.9701281352008783</v>
      </c>
    </row>
    <row r="623">
      <c r="A623" s="10" t="s">
        <v>25</v>
      </c>
      <c r="B623" s="10" t="s">
        <v>38</v>
      </c>
      <c r="C623" s="10" t="s">
        <v>40</v>
      </c>
      <c r="D623" s="10" t="s">
        <v>31</v>
      </c>
      <c r="E623" s="10" t="s">
        <v>14</v>
      </c>
      <c r="F623" s="10">
        <v>180.0</v>
      </c>
      <c r="G623" s="10" t="str">
        <f>IFERROR(VLOOKUP(C623&amp;D623&amp;E623&amp;F623,productID!$A$2:$B$7,2,FALSE))</f>
        <v>StStrC180</v>
      </c>
      <c r="H623" s="10">
        <v>2022.0</v>
      </c>
      <c r="I623" s="10" t="s">
        <v>53</v>
      </c>
      <c r="J623" s="10">
        <v>8.132356904347928</v>
      </c>
      <c r="K623" s="11">
        <v>5.106762981006077</v>
      </c>
      <c r="L623" s="12">
        <v>2.330259174540761</v>
      </c>
      <c r="M623" s="9">
        <v>0.793184675246602</v>
      </c>
    </row>
    <row r="624">
      <c r="A624" s="10" t="s">
        <v>25</v>
      </c>
      <c r="B624" s="10" t="s">
        <v>38</v>
      </c>
      <c r="C624" s="10" t="s">
        <v>40</v>
      </c>
      <c r="D624" s="10" t="s">
        <v>31</v>
      </c>
      <c r="E624" s="10" t="s">
        <v>14</v>
      </c>
      <c r="F624" s="10">
        <v>180.0</v>
      </c>
      <c r="G624" s="10" t="str">
        <f>IFERROR(VLOOKUP(C624&amp;D624&amp;E624&amp;F624,productID!$A$2:$B$7,2,FALSE))</f>
        <v>StStrC180</v>
      </c>
      <c r="H624" s="10">
        <v>2022.0</v>
      </c>
      <c r="I624" s="10" t="s">
        <v>54</v>
      </c>
      <c r="J624" s="10">
        <v>7.289324248458438</v>
      </c>
      <c r="K624" s="11">
        <v>4.668428430564669</v>
      </c>
      <c r="L624" s="12">
        <v>2.1302434088818933</v>
      </c>
      <c r="M624" s="9">
        <v>0.7013190232624087</v>
      </c>
    </row>
    <row r="625">
      <c r="A625" s="10" t="s">
        <v>25</v>
      </c>
      <c r="B625" s="10" t="s">
        <v>38</v>
      </c>
      <c r="C625" s="10" t="s">
        <v>40</v>
      </c>
      <c r="D625" s="10" t="s">
        <v>31</v>
      </c>
      <c r="E625" s="10" t="s">
        <v>14</v>
      </c>
      <c r="F625" s="10">
        <v>180.0</v>
      </c>
      <c r="G625" s="10" t="str">
        <f>IFERROR(VLOOKUP(C625&amp;D625&amp;E625&amp;F625,productID!$A$2:$B$7,2,FALSE))</f>
        <v>StStrC180</v>
      </c>
      <c r="H625" s="10">
        <v>2023.0</v>
      </c>
      <c r="I625" s="10" t="s">
        <v>51</v>
      </c>
      <c r="J625" s="10">
        <v>6.063321492236651</v>
      </c>
      <c r="K625" s="11">
        <v>3.8590571968535556</v>
      </c>
      <c r="L625" s="12">
        <v>1.7609204639988847</v>
      </c>
      <c r="M625" s="9">
        <v>0.5521444778663134</v>
      </c>
    </row>
    <row r="626">
      <c r="A626" s="10" t="s">
        <v>25</v>
      </c>
      <c r="B626" s="10" t="s">
        <v>38</v>
      </c>
      <c r="C626" s="10" t="s">
        <v>40</v>
      </c>
      <c r="D626" s="10" t="s">
        <v>31</v>
      </c>
      <c r="E626" s="10" t="s">
        <v>14</v>
      </c>
      <c r="F626" s="10">
        <v>180.0</v>
      </c>
      <c r="G626" s="10" t="str">
        <f>IFERROR(VLOOKUP(C626&amp;D626&amp;E626&amp;F626,productID!$A$2:$B$7,2,FALSE))</f>
        <v>StStrC180</v>
      </c>
      <c r="H626" s="10">
        <v>2023.0</v>
      </c>
      <c r="I626" s="10" t="s">
        <v>52</v>
      </c>
      <c r="J626" s="10">
        <v>3.822702360871048</v>
      </c>
      <c r="K626" s="11">
        <v>2.3225337728264743</v>
      </c>
      <c r="L626" s="12">
        <v>1.0597918196789753</v>
      </c>
      <c r="M626" s="9">
        <v>0.3432246878731313</v>
      </c>
    </row>
    <row r="627">
      <c r="A627" s="10" t="s">
        <v>25</v>
      </c>
      <c r="B627" s="10" t="s">
        <v>38</v>
      </c>
      <c r="C627" s="10" t="s">
        <v>40</v>
      </c>
      <c r="D627" s="10" t="s">
        <v>31</v>
      </c>
      <c r="E627" s="10" t="s">
        <v>14</v>
      </c>
      <c r="F627" s="10">
        <v>180.0</v>
      </c>
      <c r="G627" s="10" t="str">
        <f>IFERROR(VLOOKUP(C627&amp;D627&amp;E627&amp;F627,productID!$A$2:$B$7,2,FALSE))</f>
        <v>StStrC180</v>
      </c>
      <c r="H627" s="10">
        <v>2023.0</v>
      </c>
      <c r="I627" s="10" t="s">
        <v>53</v>
      </c>
      <c r="J627" s="10">
        <v>3.1899656431489776</v>
      </c>
      <c r="K627" s="11">
        <v>2.3316812247807066</v>
      </c>
      <c r="L627" s="12">
        <v>1.0639658794345</v>
      </c>
      <c r="M627" s="9">
        <v>0.30402283537847874</v>
      </c>
    </row>
    <row r="628">
      <c r="A628" s="10" t="s">
        <v>25</v>
      </c>
      <c r="B628" s="10" t="s">
        <v>38</v>
      </c>
      <c r="C628" s="10" t="s">
        <v>40</v>
      </c>
      <c r="D628" s="10" t="s">
        <v>31</v>
      </c>
      <c r="E628" s="10" t="s">
        <v>14</v>
      </c>
      <c r="F628" s="10">
        <v>180.0</v>
      </c>
      <c r="G628" s="10" t="str">
        <f>IFERROR(VLOOKUP(C628&amp;D628&amp;E628&amp;F628,productID!$A$2:$B$7,2,FALSE))</f>
        <v>StStrC180</v>
      </c>
      <c r="H628" s="10">
        <v>2023.0</v>
      </c>
      <c r="I628" s="10" t="s">
        <v>54</v>
      </c>
      <c r="J628" s="10">
        <v>3.1651930876985284</v>
      </c>
      <c r="K628" s="11">
        <v>2.308053145938099</v>
      </c>
      <c r="L628" s="12">
        <v>1.0531841870582246</v>
      </c>
      <c r="M628" s="9">
        <v>0.3221556065193466</v>
      </c>
    </row>
    <row r="629">
      <c r="A629" s="10" t="s">
        <v>26</v>
      </c>
      <c r="B629" s="10" t="s">
        <v>38</v>
      </c>
      <c r="C629" s="10" t="s">
        <v>40</v>
      </c>
      <c r="D629" s="10" t="s">
        <v>31</v>
      </c>
      <c r="E629" s="10" t="s">
        <v>14</v>
      </c>
      <c r="F629" s="10">
        <v>180.0</v>
      </c>
      <c r="G629" s="10" t="str">
        <f>IFERROR(VLOOKUP(C629&amp;D629&amp;E629&amp;F629,productID!$A$2:$B$7,2,FALSE))</f>
        <v>StStrC180</v>
      </c>
      <c r="H629" s="10">
        <v>2022.0</v>
      </c>
      <c r="I629" s="10" t="s">
        <v>51</v>
      </c>
      <c r="J629" s="10">
        <v>42.12541791784681</v>
      </c>
      <c r="K629" s="11">
        <v>29.488037815643843</v>
      </c>
      <c r="L629" s="12">
        <v>13.455641257423611</v>
      </c>
      <c r="M629" s="9">
        <v>2.0392715005324287</v>
      </c>
    </row>
    <row r="630">
      <c r="A630" s="10" t="s">
        <v>26</v>
      </c>
      <c r="B630" s="10" t="s">
        <v>38</v>
      </c>
      <c r="C630" s="10" t="s">
        <v>40</v>
      </c>
      <c r="D630" s="10" t="s">
        <v>31</v>
      </c>
      <c r="E630" s="10" t="s">
        <v>14</v>
      </c>
      <c r="F630" s="10">
        <v>180.0</v>
      </c>
      <c r="G630" s="10" t="str">
        <f>IFERROR(VLOOKUP(C630&amp;D630&amp;E630&amp;F630,productID!$A$2:$B$7,2,FALSE))</f>
        <v>StStrC180</v>
      </c>
      <c r="H630" s="10">
        <v>2022.0</v>
      </c>
      <c r="I630" s="10" t="s">
        <v>52</v>
      </c>
      <c r="J630" s="10">
        <v>41.43344776631471</v>
      </c>
      <c r="K630" s="11">
        <v>25.26497501919459</v>
      </c>
      <c r="L630" s="12">
        <v>11.528621957195798</v>
      </c>
      <c r="M630" s="9">
        <v>1.9730472864554605</v>
      </c>
    </row>
    <row r="631">
      <c r="A631" s="10" t="s">
        <v>26</v>
      </c>
      <c r="B631" s="10" t="s">
        <v>38</v>
      </c>
      <c r="C631" s="10" t="s">
        <v>40</v>
      </c>
      <c r="D631" s="10" t="s">
        <v>31</v>
      </c>
      <c r="E631" s="10" t="s">
        <v>14</v>
      </c>
      <c r="F631" s="10">
        <v>180.0</v>
      </c>
      <c r="G631" s="10" t="str">
        <f>IFERROR(VLOOKUP(C631&amp;D631&amp;E631&amp;F631,productID!$A$2:$B$7,2,FALSE))</f>
        <v>StStrC180</v>
      </c>
      <c r="H631" s="10">
        <v>2022.0</v>
      </c>
      <c r="I631" s="10" t="s">
        <v>53</v>
      </c>
      <c r="J631" s="10">
        <v>42.87943965255223</v>
      </c>
      <c r="K631" s="11">
        <v>26.87097156740061</v>
      </c>
      <c r="L631" s="12">
        <v>12.261451776135344</v>
      </c>
      <c r="M631" s="9">
        <v>2.0472529804009314</v>
      </c>
    </row>
    <row r="632">
      <c r="A632" s="10" t="s">
        <v>26</v>
      </c>
      <c r="B632" s="10" t="s">
        <v>38</v>
      </c>
      <c r="C632" s="10" t="s">
        <v>40</v>
      </c>
      <c r="D632" s="10" t="s">
        <v>31</v>
      </c>
      <c r="E632" s="10" t="s">
        <v>14</v>
      </c>
      <c r="F632" s="10">
        <v>180.0</v>
      </c>
      <c r="G632" s="10" t="str">
        <f>IFERROR(VLOOKUP(C632&amp;D632&amp;E632&amp;F632,productID!$A$2:$B$7,2,FALSE))</f>
        <v>StStrC180</v>
      </c>
      <c r="H632" s="10">
        <v>2022.0</v>
      </c>
      <c r="I632" s="10" t="s">
        <v>54</v>
      </c>
      <c r="J632" s="10">
        <v>43.47403878184628</v>
      </c>
      <c r="K632" s="11">
        <v>26.17273292276354</v>
      </c>
      <c r="L632" s="12">
        <v>11.94283957233107</v>
      </c>
      <c r="M632" s="9">
        <v>2.036421928550369</v>
      </c>
    </row>
    <row r="633">
      <c r="A633" s="10" t="s">
        <v>26</v>
      </c>
      <c r="B633" s="10" t="s">
        <v>38</v>
      </c>
      <c r="C633" s="10" t="s">
        <v>40</v>
      </c>
      <c r="D633" s="10" t="s">
        <v>31</v>
      </c>
      <c r="E633" s="10" t="s">
        <v>14</v>
      </c>
      <c r="F633" s="10">
        <v>180.0</v>
      </c>
      <c r="G633" s="10" t="str">
        <f>IFERROR(VLOOKUP(C633&amp;D633&amp;E633&amp;F633,productID!$A$2:$B$7,2,FALSE))</f>
        <v>StStrC180</v>
      </c>
      <c r="H633" s="10">
        <v>2023.0</v>
      </c>
      <c r="I633" s="10" t="s">
        <v>51</v>
      </c>
      <c r="J633" s="10">
        <v>38.801010517315</v>
      </c>
      <c r="K633" s="11">
        <v>25.316063516408217</v>
      </c>
      <c r="L633" s="12">
        <v>11.551934070914085</v>
      </c>
      <c r="M633" s="9">
        <v>1.7995648776050637</v>
      </c>
    </row>
    <row r="634">
      <c r="A634" s="10" t="s">
        <v>26</v>
      </c>
      <c r="B634" s="10" t="s">
        <v>38</v>
      </c>
      <c r="C634" s="10" t="s">
        <v>40</v>
      </c>
      <c r="D634" s="10" t="s">
        <v>31</v>
      </c>
      <c r="E634" s="10" t="s">
        <v>14</v>
      </c>
      <c r="F634" s="10">
        <v>180.0</v>
      </c>
      <c r="G634" s="10" t="str">
        <f>IFERROR(VLOOKUP(C634&amp;D634&amp;E634&amp;F634,productID!$A$2:$B$7,2,FALSE))</f>
        <v>StStrC180</v>
      </c>
      <c r="H634" s="10">
        <v>2023.0</v>
      </c>
      <c r="I634" s="10" t="s">
        <v>52</v>
      </c>
      <c r="J634" s="10">
        <v>34.285409290191765</v>
      </c>
      <c r="K634" s="11">
        <v>21.93461843142898</v>
      </c>
      <c r="L634" s="12">
        <v>10.00895205632169</v>
      </c>
      <c r="M634" s="9">
        <v>1.5386507145469737</v>
      </c>
    </row>
    <row r="635">
      <c r="A635" s="10" t="s">
        <v>26</v>
      </c>
      <c r="B635" s="10" t="s">
        <v>38</v>
      </c>
      <c r="C635" s="10" t="s">
        <v>40</v>
      </c>
      <c r="D635" s="10" t="s">
        <v>31</v>
      </c>
      <c r="E635" s="10" t="s">
        <v>14</v>
      </c>
      <c r="F635" s="10">
        <v>180.0</v>
      </c>
      <c r="G635" s="10" t="str">
        <f>IFERROR(VLOOKUP(C635&amp;D635&amp;E635&amp;F635,productID!$A$2:$B$7,2,FALSE))</f>
        <v>StStrC180</v>
      </c>
      <c r="H635" s="10">
        <v>2023.0</v>
      </c>
      <c r="I635" s="10" t="s">
        <v>53</v>
      </c>
      <c r="J635" s="10">
        <v>31.702827991181557</v>
      </c>
      <c r="K635" s="11">
        <v>20.25115492962187</v>
      </c>
      <c r="L635" s="12">
        <v>9.240773410733228</v>
      </c>
      <c r="M635" s="9">
        <v>1.454738624855538</v>
      </c>
    </row>
    <row r="636">
      <c r="A636" s="10" t="s">
        <v>26</v>
      </c>
      <c r="B636" s="10" t="s">
        <v>38</v>
      </c>
      <c r="C636" s="10" t="s">
        <v>40</v>
      </c>
      <c r="D636" s="10" t="s">
        <v>31</v>
      </c>
      <c r="E636" s="10" t="s">
        <v>14</v>
      </c>
      <c r="F636" s="10">
        <v>180.0</v>
      </c>
      <c r="G636" s="10" t="str">
        <f>IFERROR(VLOOKUP(C636&amp;D636&amp;E636&amp;F636,productID!$A$2:$B$7,2,FALSE))</f>
        <v>StStrC180</v>
      </c>
      <c r="H636" s="10">
        <v>2023.0</v>
      </c>
      <c r="I636" s="10" t="s">
        <v>54</v>
      </c>
      <c r="J636" s="10">
        <v>33.59595182982744</v>
      </c>
      <c r="K636" s="11">
        <v>20.79596446638963</v>
      </c>
      <c r="L636" s="12">
        <v>9.489374613912677</v>
      </c>
      <c r="M636" s="9">
        <v>1.597692606810278</v>
      </c>
    </row>
    <row r="637">
      <c r="A637" s="10" t="s">
        <v>10</v>
      </c>
      <c r="B637" s="10" t="s">
        <v>38</v>
      </c>
      <c r="C637" s="10" t="s">
        <v>40</v>
      </c>
      <c r="D637" s="10" t="s">
        <v>13</v>
      </c>
      <c r="E637" s="10" t="s">
        <v>14</v>
      </c>
      <c r="F637" s="10">
        <v>180.0</v>
      </c>
      <c r="G637" s="10" t="str">
        <f>IFERROR(VLOOKUP(C637&amp;D637&amp;E637&amp;F637,productID!$A$2:$B$7,2,FALSE))</f>
        <v>StSwC180</v>
      </c>
      <c r="H637" s="10">
        <v>2022.0</v>
      </c>
      <c r="I637" s="10" t="s">
        <v>51</v>
      </c>
      <c r="J637" s="10">
        <v>38.462885142510686</v>
      </c>
      <c r="K637" s="11">
        <v>23.393166339871755</v>
      </c>
      <c r="L637" s="12">
        <v>11.879527899589556</v>
      </c>
      <c r="M637" s="9">
        <v>3.3708110279801473</v>
      </c>
    </row>
    <row r="638">
      <c r="A638" s="10" t="s">
        <v>10</v>
      </c>
      <c r="B638" s="10" t="s">
        <v>38</v>
      </c>
      <c r="C638" s="10" t="s">
        <v>40</v>
      </c>
      <c r="D638" s="10" t="s">
        <v>13</v>
      </c>
      <c r="E638" s="10" t="s">
        <v>14</v>
      </c>
      <c r="F638" s="10">
        <v>180.0</v>
      </c>
      <c r="G638" s="10" t="str">
        <f>IFERROR(VLOOKUP(C638&amp;D638&amp;E638&amp;F638,productID!$A$2:$B$7,2,FALSE))</f>
        <v>StSwC180</v>
      </c>
      <c r="H638" s="10">
        <v>2022.0</v>
      </c>
      <c r="I638" s="10" t="s">
        <v>52</v>
      </c>
      <c r="J638" s="10">
        <v>45.94021520076109</v>
      </c>
      <c r="K638" s="11">
        <v>33.99336825981181</v>
      </c>
      <c r="L638" s="12">
        <v>17.262527046420786</v>
      </c>
      <c r="M638" s="9">
        <v>4.009477230907746</v>
      </c>
    </row>
    <row r="639">
      <c r="A639" s="10" t="s">
        <v>10</v>
      </c>
      <c r="B639" s="10" t="s">
        <v>38</v>
      </c>
      <c r="C639" s="10" t="s">
        <v>40</v>
      </c>
      <c r="D639" s="10" t="s">
        <v>13</v>
      </c>
      <c r="E639" s="10" t="s">
        <v>14</v>
      </c>
      <c r="F639" s="10">
        <v>180.0</v>
      </c>
      <c r="G639" s="10" t="str">
        <f>IFERROR(VLOOKUP(C639&amp;D639&amp;E639&amp;F639,productID!$A$2:$B$7,2,FALSE))</f>
        <v>StSwC180</v>
      </c>
      <c r="H639" s="10">
        <v>2022.0</v>
      </c>
      <c r="I639" s="10" t="s">
        <v>53</v>
      </c>
      <c r="J639" s="10">
        <v>47.14662812665364</v>
      </c>
      <c r="K639" s="11">
        <v>29.055388555649863</v>
      </c>
      <c r="L639" s="12">
        <v>14.754920046541672</v>
      </c>
      <c r="M639" s="9">
        <v>4.121151776650045</v>
      </c>
    </row>
    <row r="640">
      <c r="A640" s="10" t="s">
        <v>10</v>
      </c>
      <c r="B640" s="10" t="s">
        <v>38</v>
      </c>
      <c r="C640" s="10" t="s">
        <v>40</v>
      </c>
      <c r="D640" s="10" t="s">
        <v>13</v>
      </c>
      <c r="E640" s="10" t="s">
        <v>14</v>
      </c>
      <c r="F640" s="10">
        <v>180.0</v>
      </c>
      <c r="G640" s="10" t="str">
        <f>IFERROR(VLOOKUP(C640&amp;D640&amp;E640&amp;F640,productID!$A$2:$B$7,2,FALSE))</f>
        <v>StSwC180</v>
      </c>
      <c r="H640" s="10">
        <v>2022.0</v>
      </c>
      <c r="I640" s="10" t="s">
        <v>54</v>
      </c>
      <c r="J640" s="10">
        <v>44.640850544407755</v>
      </c>
      <c r="K640" s="11">
        <v>28.812799031666835</v>
      </c>
      <c r="L640" s="12">
        <v>14.631728129020331</v>
      </c>
      <c r="M640" s="9">
        <v>4.042608560298935</v>
      </c>
    </row>
    <row r="641">
      <c r="A641" s="10" t="s">
        <v>10</v>
      </c>
      <c r="B641" s="10" t="s">
        <v>38</v>
      </c>
      <c r="C641" s="10" t="s">
        <v>40</v>
      </c>
      <c r="D641" s="10" t="s">
        <v>13</v>
      </c>
      <c r="E641" s="10" t="s">
        <v>14</v>
      </c>
      <c r="F641" s="10">
        <v>180.0</v>
      </c>
      <c r="G641" s="10" t="str">
        <f>IFERROR(VLOOKUP(C641&amp;D641&amp;E641&amp;F641,productID!$A$2:$B$7,2,FALSE))</f>
        <v>StSwC180</v>
      </c>
      <c r="H641" s="10">
        <v>2023.0</v>
      </c>
      <c r="I641" s="10" t="s">
        <v>51</v>
      </c>
      <c r="J641" s="10">
        <v>46.10032161600557</v>
      </c>
      <c r="K641" s="11">
        <v>28.272880933112102</v>
      </c>
      <c r="L641" s="12">
        <v>14.35754668551295</v>
      </c>
      <c r="M641" s="9">
        <v>3.908954817849413</v>
      </c>
    </row>
    <row r="642">
      <c r="A642" s="10" t="s">
        <v>10</v>
      </c>
      <c r="B642" s="10" t="s">
        <v>38</v>
      </c>
      <c r="C642" s="10" t="s">
        <v>40</v>
      </c>
      <c r="D642" s="10" t="s">
        <v>13</v>
      </c>
      <c r="E642" s="10" t="s">
        <v>14</v>
      </c>
      <c r="F642" s="10">
        <v>180.0</v>
      </c>
      <c r="G642" s="10" t="str">
        <f>IFERROR(VLOOKUP(C642&amp;D642&amp;E642&amp;F642,productID!$A$2:$B$7,2,FALSE))</f>
        <v>StSwC180</v>
      </c>
      <c r="H642" s="10">
        <v>2023.0</v>
      </c>
      <c r="I642" s="10" t="s">
        <v>52</v>
      </c>
      <c r="J642" s="10">
        <v>42.535217323537466</v>
      </c>
      <c r="K642" s="11">
        <v>31.304096795716898</v>
      </c>
      <c r="L642" s="12">
        <v>15.89686004251315</v>
      </c>
      <c r="M642" s="9">
        <v>3.361472948917519</v>
      </c>
    </row>
    <row r="643">
      <c r="A643" s="10" t="s">
        <v>10</v>
      </c>
      <c r="B643" s="10" t="s">
        <v>38</v>
      </c>
      <c r="C643" s="10" t="s">
        <v>40</v>
      </c>
      <c r="D643" s="10" t="s">
        <v>13</v>
      </c>
      <c r="E643" s="10" t="s">
        <v>14</v>
      </c>
      <c r="F643" s="10">
        <v>180.0</v>
      </c>
      <c r="G643" s="10" t="str">
        <f>IFERROR(VLOOKUP(C643&amp;D643&amp;E643&amp;F643,productID!$A$2:$B$7,2,FALSE))</f>
        <v>StSwC180</v>
      </c>
      <c r="H643" s="10">
        <v>2023.0</v>
      </c>
      <c r="I643" s="10" t="s">
        <v>53</v>
      </c>
      <c r="J643" s="10">
        <v>38.807024673967646</v>
      </c>
      <c r="K643" s="11">
        <v>24.71162506401872</v>
      </c>
      <c r="L643" s="12">
        <v>12.54906818201235</v>
      </c>
      <c r="M643" s="9">
        <v>3.1435266922476917</v>
      </c>
    </row>
    <row r="644">
      <c r="A644" s="10" t="s">
        <v>10</v>
      </c>
      <c r="B644" s="10" t="s">
        <v>38</v>
      </c>
      <c r="C644" s="10" t="s">
        <v>40</v>
      </c>
      <c r="D644" s="10" t="s">
        <v>13</v>
      </c>
      <c r="E644" s="10" t="s">
        <v>14</v>
      </c>
      <c r="F644" s="10">
        <v>180.0</v>
      </c>
      <c r="G644" s="10" t="str">
        <f>IFERROR(VLOOKUP(C644&amp;D644&amp;E644&amp;F644,productID!$A$2:$B$7,2,FALSE))</f>
        <v>StSwC180</v>
      </c>
      <c r="H644" s="10">
        <v>2023.0</v>
      </c>
      <c r="I644" s="10" t="s">
        <v>54</v>
      </c>
      <c r="J644" s="10">
        <v>38.150183610905884</v>
      </c>
      <c r="K644" s="11">
        <v>23.91648992116003</v>
      </c>
      <c r="L644" s="12">
        <v>12.145282308125141</v>
      </c>
      <c r="M644" s="9">
        <v>3.282658102971171</v>
      </c>
    </row>
    <row r="645">
      <c r="A645" s="10" t="s">
        <v>24</v>
      </c>
      <c r="B645" s="10" t="s">
        <v>38</v>
      </c>
      <c r="C645" s="10" t="s">
        <v>40</v>
      </c>
      <c r="D645" s="10" t="s">
        <v>13</v>
      </c>
      <c r="E645" s="10" t="s">
        <v>14</v>
      </c>
      <c r="F645" s="10">
        <v>180.0</v>
      </c>
      <c r="G645" s="10" t="str">
        <f>IFERROR(VLOOKUP(C645&amp;D645&amp;E645&amp;F645,productID!$A$2:$B$7,2,FALSE))</f>
        <v>StSwC180</v>
      </c>
      <c r="H645" s="10">
        <v>2022.0</v>
      </c>
      <c r="I645" s="10" t="s">
        <v>51</v>
      </c>
      <c r="J645" s="10">
        <v>37.676221030979875</v>
      </c>
      <c r="K645" s="11">
        <v>26.09340544704726</v>
      </c>
      <c r="L645" s="12">
        <v>13.25076449677395</v>
      </c>
      <c r="M645" s="9">
        <v>4.207838361214767</v>
      </c>
    </row>
    <row r="646">
      <c r="A646" s="10" t="s">
        <v>24</v>
      </c>
      <c r="B646" s="10" t="s">
        <v>38</v>
      </c>
      <c r="C646" s="10" t="s">
        <v>40</v>
      </c>
      <c r="D646" s="10" t="s">
        <v>13</v>
      </c>
      <c r="E646" s="10" t="s">
        <v>14</v>
      </c>
      <c r="F646" s="10">
        <v>180.0</v>
      </c>
      <c r="G646" s="10" t="str">
        <f>IFERROR(VLOOKUP(C646&amp;D646&amp;E646&amp;F646,productID!$A$2:$B$7,2,FALSE))</f>
        <v>StSwC180</v>
      </c>
      <c r="H646" s="10">
        <v>2022.0</v>
      </c>
      <c r="I646" s="10" t="s">
        <v>52</v>
      </c>
      <c r="J646" s="10">
        <v>44.73629040625268</v>
      </c>
      <c r="K646" s="11">
        <v>27.27795241790426</v>
      </c>
      <c r="L646" s="12">
        <v>13.852301654430358</v>
      </c>
      <c r="M646" s="9">
        <v>4.775982282718948</v>
      </c>
    </row>
    <row r="647">
      <c r="A647" s="10" t="s">
        <v>24</v>
      </c>
      <c r="B647" s="10" t="s">
        <v>38</v>
      </c>
      <c r="C647" s="10" t="s">
        <v>40</v>
      </c>
      <c r="D647" s="10" t="s">
        <v>13</v>
      </c>
      <c r="E647" s="10" t="s">
        <v>14</v>
      </c>
      <c r="F647" s="10">
        <v>180.0</v>
      </c>
      <c r="G647" s="10" t="str">
        <f>IFERROR(VLOOKUP(C647&amp;D647&amp;E647&amp;F647,productID!$A$2:$B$7,2,FALSE))</f>
        <v>StSwC180</v>
      </c>
      <c r="H647" s="10">
        <v>2022.0</v>
      </c>
      <c r="I647" s="10" t="s">
        <v>53</v>
      </c>
      <c r="J647" s="10">
        <v>47.79964239875507</v>
      </c>
      <c r="K647" s="11">
        <v>35.247899040498304</v>
      </c>
      <c r="L647" s="12">
        <v>17.89960341280637</v>
      </c>
      <c r="M647" s="9">
        <v>4.966823385976377</v>
      </c>
    </row>
    <row r="648">
      <c r="A648" s="10" t="s">
        <v>24</v>
      </c>
      <c r="B648" s="10" t="s">
        <v>38</v>
      </c>
      <c r="C648" s="10" t="s">
        <v>40</v>
      </c>
      <c r="D648" s="10" t="s">
        <v>13</v>
      </c>
      <c r="E648" s="10" t="s">
        <v>14</v>
      </c>
      <c r="F648" s="10">
        <v>180.0</v>
      </c>
      <c r="G648" s="10" t="str">
        <f>IFERROR(VLOOKUP(C648&amp;D648&amp;E648&amp;F648,productID!$A$2:$B$7,2,FALSE))</f>
        <v>StSwC180</v>
      </c>
      <c r="H648" s="10">
        <v>2022.0</v>
      </c>
      <c r="I648" s="10" t="s">
        <v>54</v>
      </c>
      <c r="J648" s="10">
        <v>43.513585222075065</v>
      </c>
      <c r="K648" s="11">
        <v>27.290757713468814</v>
      </c>
      <c r="L648" s="12">
        <v>13.858804445190339</v>
      </c>
      <c r="M648" s="9">
        <v>4.671321365143249</v>
      </c>
    </row>
    <row r="649">
      <c r="A649" s="10" t="s">
        <v>24</v>
      </c>
      <c r="B649" s="10" t="s">
        <v>38</v>
      </c>
      <c r="C649" s="10" t="s">
        <v>40</v>
      </c>
      <c r="D649" s="10" t="s">
        <v>13</v>
      </c>
      <c r="E649" s="10" t="s">
        <v>14</v>
      </c>
      <c r="F649" s="10">
        <v>180.0</v>
      </c>
      <c r="G649" s="10" t="str">
        <f>IFERROR(VLOOKUP(C649&amp;D649&amp;E649&amp;F649,productID!$A$2:$B$7,2,FALSE))</f>
        <v>StSwC180</v>
      </c>
      <c r="H649" s="10">
        <v>2023.0</v>
      </c>
      <c r="I649" s="10" t="s">
        <v>51</v>
      </c>
      <c r="J649" s="10">
        <v>45.44253051252194</v>
      </c>
      <c r="K649" s="11">
        <v>29.09321500668109</v>
      </c>
      <c r="L649" s="12">
        <v>14.774129091347293</v>
      </c>
      <c r="M649" s="9">
        <v>4.752100865950941</v>
      </c>
    </row>
    <row r="650">
      <c r="A650" s="10" t="s">
        <v>24</v>
      </c>
      <c r="B650" s="10" t="s">
        <v>38</v>
      </c>
      <c r="C650" s="10" t="s">
        <v>40</v>
      </c>
      <c r="D650" s="10" t="s">
        <v>13</v>
      </c>
      <c r="E650" s="10" t="s">
        <v>14</v>
      </c>
      <c r="F650" s="10">
        <v>180.0</v>
      </c>
      <c r="G650" s="10" t="str">
        <f>IFERROR(VLOOKUP(C650&amp;D650&amp;E650&amp;F650,productID!$A$2:$B$7,2,FALSE))</f>
        <v>StSwC180</v>
      </c>
      <c r="H650" s="10">
        <v>2023.0</v>
      </c>
      <c r="I650" s="10" t="s">
        <v>52</v>
      </c>
      <c r="J650" s="10">
        <v>40.32346343661129</v>
      </c>
      <c r="K650" s="11">
        <v>27.315991471045066</v>
      </c>
      <c r="L650" s="12">
        <v>13.871618662931683</v>
      </c>
      <c r="M650" s="9">
        <v>4.161496508899141</v>
      </c>
    </row>
    <row r="651">
      <c r="A651" s="10" t="s">
        <v>24</v>
      </c>
      <c r="B651" s="10" t="s">
        <v>38</v>
      </c>
      <c r="C651" s="10" t="s">
        <v>40</v>
      </c>
      <c r="D651" s="10" t="s">
        <v>13</v>
      </c>
      <c r="E651" s="10" t="s">
        <v>14</v>
      </c>
      <c r="F651" s="10">
        <v>180.0</v>
      </c>
      <c r="G651" s="10" t="str">
        <f>IFERROR(VLOOKUP(C651&amp;D651&amp;E651&amp;F651,productID!$A$2:$B$7,2,FALSE))</f>
        <v>StSwC180</v>
      </c>
      <c r="H651" s="10">
        <v>2023.0</v>
      </c>
      <c r="I651" s="10" t="s">
        <v>53</v>
      </c>
      <c r="J651" s="10">
        <v>32.749556628477556</v>
      </c>
      <c r="K651" s="11">
        <v>22.984656423449664</v>
      </c>
      <c r="L651" s="12">
        <v>11.672078216255162</v>
      </c>
      <c r="M651" s="9">
        <v>3.5974532310117766</v>
      </c>
    </row>
    <row r="652">
      <c r="A652" s="10" t="s">
        <v>24</v>
      </c>
      <c r="B652" s="10" t="s">
        <v>38</v>
      </c>
      <c r="C652" s="10" t="s">
        <v>40</v>
      </c>
      <c r="D652" s="10" t="s">
        <v>13</v>
      </c>
      <c r="E652" s="10" t="s">
        <v>14</v>
      </c>
      <c r="F652" s="10">
        <v>180.0</v>
      </c>
      <c r="G652" s="10" t="str">
        <f>IFERROR(VLOOKUP(C652&amp;D652&amp;E652&amp;F652,productID!$A$2:$B$7,2,FALSE))</f>
        <v>StSwC180</v>
      </c>
      <c r="H652" s="10">
        <v>2023.0</v>
      </c>
      <c r="I652" s="10" t="s">
        <v>54</v>
      </c>
      <c r="J652" s="10">
        <v>27.638117948368393</v>
      </c>
      <c r="K652" s="11">
        <v>16.72043033344754</v>
      </c>
      <c r="L652" s="12">
        <v>8.490976200206957</v>
      </c>
      <c r="M652" s="9">
        <v>3.5049382840869843</v>
      </c>
    </row>
    <row r="653">
      <c r="A653" s="10" t="s">
        <v>25</v>
      </c>
      <c r="B653" s="10" t="s">
        <v>38</v>
      </c>
      <c r="C653" s="10" t="s">
        <v>40</v>
      </c>
      <c r="D653" s="10" t="s">
        <v>13</v>
      </c>
      <c r="E653" s="10" t="s">
        <v>14</v>
      </c>
      <c r="F653" s="10">
        <v>180.0</v>
      </c>
      <c r="G653" s="10" t="str">
        <f>IFERROR(VLOOKUP(C653&amp;D653&amp;E653&amp;F653,productID!$A$2:$B$7,2,FALSE))</f>
        <v>StSwC180</v>
      </c>
      <c r="H653" s="10">
        <v>2022.0</v>
      </c>
      <c r="I653" s="10" t="s">
        <v>51</v>
      </c>
      <c r="J653" s="10">
        <v>37.53681783952807</v>
      </c>
      <c r="K653" s="11">
        <v>27.604426590289386</v>
      </c>
      <c r="L653" s="12">
        <v>14.018091910567431</v>
      </c>
      <c r="M653" s="9">
        <v>3.8410932618764257</v>
      </c>
    </row>
    <row r="654">
      <c r="A654" s="10" t="s">
        <v>25</v>
      </c>
      <c r="B654" s="10" t="s">
        <v>38</v>
      </c>
      <c r="C654" s="10" t="s">
        <v>40</v>
      </c>
      <c r="D654" s="10" t="s">
        <v>13</v>
      </c>
      <c r="E654" s="10" t="s">
        <v>14</v>
      </c>
      <c r="F654" s="10">
        <v>180.0</v>
      </c>
      <c r="G654" s="10" t="str">
        <f>IFERROR(VLOOKUP(C654&amp;D654&amp;E654&amp;F654,productID!$A$2:$B$7,2,FALSE))</f>
        <v>StSwC180</v>
      </c>
      <c r="H654" s="10">
        <v>2022.0</v>
      </c>
      <c r="I654" s="10" t="s">
        <v>52</v>
      </c>
      <c r="J654" s="10">
        <v>41.750190381319335</v>
      </c>
      <c r="K654" s="11">
        <v>26.885831149342376</v>
      </c>
      <c r="L654" s="12">
        <v>13.653174461376384</v>
      </c>
      <c r="M654" s="9">
        <v>4.234605239472914</v>
      </c>
    </row>
    <row r="655">
      <c r="A655" s="10" t="s">
        <v>25</v>
      </c>
      <c r="B655" s="10" t="s">
        <v>38</v>
      </c>
      <c r="C655" s="10" t="s">
        <v>40</v>
      </c>
      <c r="D655" s="10" t="s">
        <v>13</v>
      </c>
      <c r="E655" s="10" t="s">
        <v>14</v>
      </c>
      <c r="F655" s="10">
        <v>180.0</v>
      </c>
      <c r="G655" s="10" t="str">
        <f>IFERROR(VLOOKUP(C655&amp;D655&amp;E655&amp;F655,productID!$A$2:$B$7,2,FALSE))</f>
        <v>StSwC180</v>
      </c>
      <c r="H655" s="10">
        <v>2022.0</v>
      </c>
      <c r="I655" s="10" t="s">
        <v>53</v>
      </c>
      <c r="J655" s="10">
        <v>44.09102368982577</v>
      </c>
      <c r="K655" s="11">
        <v>27.557959519619864</v>
      </c>
      <c r="L655" s="12">
        <v>13.994494982541065</v>
      </c>
      <c r="M655" s="9">
        <v>4.300392213234873</v>
      </c>
    </row>
    <row r="656">
      <c r="A656" s="10" t="s">
        <v>25</v>
      </c>
      <c r="B656" s="10" t="s">
        <v>38</v>
      </c>
      <c r="C656" s="10" t="s">
        <v>40</v>
      </c>
      <c r="D656" s="10" t="s">
        <v>13</v>
      </c>
      <c r="E656" s="10" t="s">
        <v>14</v>
      </c>
      <c r="F656" s="10">
        <v>180.0</v>
      </c>
      <c r="G656" s="10" t="str">
        <f>IFERROR(VLOOKUP(C656&amp;D656&amp;E656&amp;F656,productID!$A$2:$B$7,2,FALSE))</f>
        <v>StSwC180</v>
      </c>
      <c r="H656" s="10">
        <v>2022.0</v>
      </c>
      <c r="I656" s="10" t="s">
        <v>54</v>
      </c>
      <c r="J656" s="10">
        <v>36.28346942277673</v>
      </c>
      <c r="K656" s="11">
        <v>26.02347785364491</v>
      </c>
      <c r="L656" s="12">
        <v>13.21525383589524</v>
      </c>
      <c r="M656" s="9">
        <v>3.490897985713105</v>
      </c>
    </row>
    <row r="657">
      <c r="A657" s="10" t="s">
        <v>25</v>
      </c>
      <c r="B657" s="10" t="s">
        <v>38</v>
      </c>
      <c r="C657" s="10" t="s">
        <v>40</v>
      </c>
      <c r="D657" s="10" t="s">
        <v>13</v>
      </c>
      <c r="E657" s="10" t="s">
        <v>14</v>
      </c>
      <c r="F657" s="10">
        <v>180.0</v>
      </c>
      <c r="G657" s="10" t="str">
        <f>IFERROR(VLOOKUP(C657&amp;D657&amp;E657&amp;F657,productID!$A$2:$B$7,2,FALSE))</f>
        <v>StSwC180</v>
      </c>
      <c r="H657" s="10">
        <v>2023.0</v>
      </c>
      <c r="I657" s="10" t="s">
        <v>51</v>
      </c>
      <c r="J657" s="10">
        <v>35.02371767181777</v>
      </c>
      <c r="K657" s="11">
        <v>23.367244649214104</v>
      </c>
      <c r="L657" s="12">
        <v>11.866364335371777</v>
      </c>
      <c r="M657" s="9">
        <v>3.1893661471856896</v>
      </c>
    </row>
    <row r="658">
      <c r="A658" s="10" t="s">
        <v>25</v>
      </c>
      <c r="B658" s="10" t="s">
        <v>38</v>
      </c>
      <c r="C658" s="10" t="s">
        <v>40</v>
      </c>
      <c r="D658" s="10" t="s">
        <v>13</v>
      </c>
      <c r="E658" s="10" t="s">
        <v>14</v>
      </c>
      <c r="F658" s="10">
        <v>180.0</v>
      </c>
      <c r="G658" s="10" t="str">
        <f>IFERROR(VLOOKUP(C658&amp;D658&amp;E658&amp;F658,productID!$A$2:$B$7,2,FALSE))</f>
        <v>StSwC180</v>
      </c>
      <c r="H658" s="10">
        <v>2023.0</v>
      </c>
      <c r="I658" s="10" t="s">
        <v>52</v>
      </c>
      <c r="J658" s="10">
        <v>26.50432728160524</v>
      </c>
      <c r="K658" s="11">
        <v>16.170189877599697</v>
      </c>
      <c r="L658" s="12">
        <v>8.21155285273192</v>
      </c>
      <c r="M658" s="9">
        <v>2.379714296261201</v>
      </c>
    </row>
    <row r="659">
      <c r="A659" s="10" t="s">
        <v>25</v>
      </c>
      <c r="B659" s="10" t="s">
        <v>38</v>
      </c>
      <c r="C659" s="10" t="s">
        <v>40</v>
      </c>
      <c r="D659" s="10" t="s">
        <v>13</v>
      </c>
      <c r="E659" s="10" t="s">
        <v>14</v>
      </c>
      <c r="F659" s="10">
        <v>180.0</v>
      </c>
      <c r="G659" s="10" t="str">
        <f>IFERROR(VLOOKUP(C659&amp;D659&amp;E659&amp;F659,productID!$A$2:$B$7,2,FALSE))</f>
        <v>StSwC180</v>
      </c>
      <c r="H659" s="10">
        <v>2023.0</v>
      </c>
      <c r="I659" s="10" t="s">
        <v>53</v>
      </c>
      <c r="J659" s="10">
        <v>24.47938726717609</v>
      </c>
      <c r="K659" s="11">
        <v>16.296870176403612</v>
      </c>
      <c r="L659" s="12">
        <v>8.275883697137727</v>
      </c>
      <c r="M659" s="9">
        <v>2.333032251077174</v>
      </c>
    </row>
    <row r="660">
      <c r="A660" s="10" t="s">
        <v>25</v>
      </c>
      <c r="B660" s="10" t="s">
        <v>38</v>
      </c>
      <c r="C660" s="10" t="s">
        <v>40</v>
      </c>
      <c r="D660" s="10" t="s">
        <v>13</v>
      </c>
      <c r="E660" s="10" t="s">
        <v>14</v>
      </c>
      <c r="F660" s="10">
        <v>180.0</v>
      </c>
      <c r="G660" s="10" t="str">
        <f>IFERROR(VLOOKUP(C660&amp;D660&amp;E660&amp;F660,productID!$A$2:$B$7,2,FALSE))</f>
        <v>StSwC180</v>
      </c>
      <c r="H660" s="10">
        <v>2023.0</v>
      </c>
      <c r="I660" s="10" t="s">
        <v>54</v>
      </c>
      <c r="J660" s="10">
        <v>24.110300639099638</v>
      </c>
      <c r="K660" s="11">
        <v>14.555932788764277</v>
      </c>
      <c r="L660" s="12">
        <v>7.391800116171175</v>
      </c>
      <c r="M660" s="9">
        <v>2.4539635689020987</v>
      </c>
    </row>
    <row r="661">
      <c r="A661" s="10" t="s">
        <v>26</v>
      </c>
      <c r="B661" s="10" t="s">
        <v>38</v>
      </c>
      <c r="C661" s="10" t="s">
        <v>40</v>
      </c>
      <c r="D661" s="10" t="s">
        <v>13</v>
      </c>
      <c r="E661" s="10" t="s">
        <v>14</v>
      </c>
      <c r="F661" s="10">
        <v>180.0</v>
      </c>
      <c r="G661" s="10" t="str">
        <f>IFERROR(VLOOKUP(C661&amp;D661&amp;E661&amp;F661,productID!$A$2:$B$7,2,FALSE))</f>
        <v>StSwC180</v>
      </c>
      <c r="H661" s="10">
        <v>2022.0</v>
      </c>
      <c r="I661" s="10" t="s">
        <v>51</v>
      </c>
      <c r="J661" s="10">
        <v>147.33276775739583</v>
      </c>
      <c r="K661" s="11">
        <v>106.4755219096069</v>
      </c>
      <c r="L661" s="12">
        <v>54.070445820438195</v>
      </c>
      <c r="M661" s="9">
        <v>7.132309404458903</v>
      </c>
    </row>
    <row r="662">
      <c r="A662" s="10" t="s">
        <v>26</v>
      </c>
      <c r="B662" s="10" t="s">
        <v>38</v>
      </c>
      <c r="C662" s="10" t="s">
        <v>40</v>
      </c>
      <c r="D662" s="10" t="s">
        <v>13</v>
      </c>
      <c r="E662" s="10" t="s">
        <v>14</v>
      </c>
      <c r="F662" s="10">
        <v>180.0</v>
      </c>
      <c r="G662" s="10" t="str">
        <f>IFERROR(VLOOKUP(C662&amp;D662&amp;E662&amp;F662,productID!$A$2:$B$7,2,FALSE))</f>
        <v>StSwC180</v>
      </c>
      <c r="H662" s="10">
        <v>2022.0</v>
      </c>
      <c r="I662" s="10" t="s">
        <v>52</v>
      </c>
      <c r="J662" s="10">
        <v>138.96237487816438</v>
      </c>
      <c r="K662" s="11">
        <v>87.85370357657814</v>
      </c>
      <c r="L662" s="12">
        <v>44.613905939761395</v>
      </c>
      <c r="M662" s="9">
        <v>6.617343027284246</v>
      </c>
    </row>
    <row r="663">
      <c r="A663" s="10" t="s">
        <v>26</v>
      </c>
      <c r="B663" s="10" t="s">
        <v>38</v>
      </c>
      <c r="C663" s="10" t="s">
        <v>40</v>
      </c>
      <c r="D663" s="10" t="s">
        <v>13</v>
      </c>
      <c r="E663" s="10" t="s">
        <v>14</v>
      </c>
      <c r="F663" s="10">
        <v>180.0</v>
      </c>
      <c r="G663" s="10" t="str">
        <f>IFERROR(VLOOKUP(C663&amp;D663&amp;E663&amp;F663,productID!$A$2:$B$7,2,FALSE))</f>
        <v>StSwC180</v>
      </c>
      <c r="H663" s="10">
        <v>2022.0</v>
      </c>
      <c r="I663" s="10" t="s">
        <v>53</v>
      </c>
      <c r="J663" s="10">
        <v>138.89861534341992</v>
      </c>
      <c r="K663" s="11">
        <v>89.40685244418052</v>
      </c>
      <c r="L663" s="12">
        <v>45.40262667285218</v>
      </c>
      <c r="M663" s="9">
        <v>6.631630602907227</v>
      </c>
    </row>
    <row r="664">
      <c r="A664" s="10" t="s">
        <v>26</v>
      </c>
      <c r="B664" s="10" t="s">
        <v>38</v>
      </c>
      <c r="C664" s="10" t="s">
        <v>40</v>
      </c>
      <c r="D664" s="10" t="s">
        <v>13</v>
      </c>
      <c r="E664" s="10" t="s">
        <v>14</v>
      </c>
      <c r="F664" s="10">
        <v>180.0</v>
      </c>
      <c r="G664" s="10" t="str">
        <f>IFERROR(VLOOKUP(C664&amp;D664&amp;E664&amp;F664,productID!$A$2:$B$7,2,FALSE))</f>
        <v>StSwC180</v>
      </c>
      <c r="H664" s="10">
        <v>2022.0</v>
      </c>
      <c r="I664" s="10" t="s">
        <v>54</v>
      </c>
      <c r="J664" s="10">
        <v>133.4383329765529</v>
      </c>
      <c r="K664" s="11">
        <v>88.87721870534696</v>
      </c>
      <c r="L664" s="12">
        <v>45.13366783736897</v>
      </c>
      <c r="M664" s="9">
        <v>6.250552168530726</v>
      </c>
    </row>
    <row r="665">
      <c r="A665" s="10" t="s">
        <v>26</v>
      </c>
      <c r="B665" s="10" t="s">
        <v>38</v>
      </c>
      <c r="C665" s="10" t="s">
        <v>40</v>
      </c>
      <c r="D665" s="10" t="s">
        <v>13</v>
      </c>
      <c r="E665" s="10" t="s">
        <v>14</v>
      </c>
      <c r="F665" s="10">
        <v>180.0</v>
      </c>
      <c r="G665" s="10" t="str">
        <f>IFERROR(VLOOKUP(C665&amp;D665&amp;E665&amp;F665,productID!$A$2:$B$7,2,FALSE))</f>
        <v>StSwC180</v>
      </c>
      <c r="H665" s="10">
        <v>2023.0</v>
      </c>
      <c r="I665" s="10" t="s">
        <v>51</v>
      </c>
      <c r="J665" s="10">
        <v>131.71594692975972</v>
      </c>
      <c r="K665" s="11">
        <v>83.53269416863783</v>
      </c>
      <c r="L665" s="12">
        <v>42.41960906390302</v>
      </c>
      <c r="M665" s="9">
        <v>6.108897390945851</v>
      </c>
    </row>
    <row r="666">
      <c r="A666" s="10" t="s">
        <v>26</v>
      </c>
      <c r="B666" s="10" t="s">
        <v>38</v>
      </c>
      <c r="C666" s="10" t="s">
        <v>40</v>
      </c>
      <c r="D666" s="10" t="s">
        <v>13</v>
      </c>
      <c r="E666" s="10" t="s">
        <v>14</v>
      </c>
      <c r="F666" s="10">
        <v>180.0</v>
      </c>
      <c r="G666" s="10" t="str">
        <f>IFERROR(VLOOKUP(C666&amp;D666&amp;E666&amp;F666,productID!$A$2:$B$7,2,FALSE))</f>
        <v>StSwC180</v>
      </c>
      <c r="H666" s="10">
        <v>2023.0</v>
      </c>
      <c r="I666" s="10" t="s">
        <v>52</v>
      </c>
      <c r="J666" s="10">
        <v>132.40003602863425</v>
      </c>
      <c r="K666" s="11">
        <v>93.01761991787791</v>
      </c>
      <c r="L666" s="12">
        <v>47.2362481809252</v>
      </c>
      <c r="M666" s="9">
        <v>5.941810649458451</v>
      </c>
    </row>
    <row r="667">
      <c r="A667" s="10" t="s">
        <v>26</v>
      </c>
      <c r="B667" s="10" t="s">
        <v>38</v>
      </c>
      <c r="C667" s="10" t="s">
        <v>40</v>
      </c>
      <c r="D667" s="10" t="s">
        <v>13</v>
      </c>
      <c r="E667" s="10" t="s">
        <v>14</v>
      </c>
      <c r="F667" s="10">
        <v>180.0</v>
      </c>
      <c r="G667" s="10" t="str">
        <f>IFERROR(VLOOKUP(C667&amp;D667&amp;E667&amp;F667,productID!$A$2:$B$7,2,FALSE))</f>
        <v>StSwC180</v>
      </c>
      <c r="H667" s="10">
        <v>2023.0</v>
      </c>
      <c r="I667" s="10" t="s">
        <v>53</v>
      </c>
      <c r="J667" s="10">
        <v>120.490355723686</v>
      </c>
      <c r="K667" s="11">
        <v>83.37227228642271</v>
      </c>
      <c r="L667" s="12">
        <v>42.33814355394207</v>
      </c>
      <c r="M667" s="9">
        <v>5.528906583431166</v>
      </c>
    </row>
    <row r="668">
      <c r="A668" s="10" t="s">
        <v>26</v>
      </c>
      <c r="B668" s="10" t="s">
        <v>38</v>
      </c>
      <c r="C668" s="10" t="s">
        <v>40</v>
      </c>
      <c r="D668" s="10" t="s">
        <v>13</v>
      </c>
      <c r="E668" s="10" t="s">
        <v>14</v>
      </c>
      <c r="F668" s="10">
        <v>180.0</v>
      </c>
      <c r="G668" s="10" t="str">
        <f>IFERROR(VLOOKUP(C668&amp;D668&amp;E668&amp;F668,productID!$A$2:$B$7,2,FALSE))</f>
        <v>StSwC180</v>
      </c>
      <c r="H668" s="10">
        <v>2023.0</v>
      </c>
      <c r="I668" s="10" t="s">
        <v>54</v>
      </c>
      <c r="J668" s="10">
        <v>113.81292421027752</v>
      </c>
      <c r="K668" s="11">
        <v>84.85750621366896</v>
      </c>
      <c r="L668" s="12">
        <v>43.09237569249896</v>
      </c>
      <c r="M668" s="9">
        <v>5.412499353829228</v>
      </c>
    </row>
    <row r="669">
      <c r="A669" s="10" t="s">
        <v>10</v>
      </c>
      <c r="B669" s="10" t="s">
        <v>38</v>
      </c>
      <c r="C669" s="10" t="s">
        <v>40</v>
      </c>
      <c r="D669" s="10" t="s">
        <v>13</v>
      </c>
      <c r="E669" s="10" t="s">
        <v>29</v>
      </c>
      <c r="F669" s="10">
        <v>220.0</v>
      </c>
      <c r="G669" s="10" t="str">
        <f>IFERROR(VLOOKUP(C669&amp;D669&amp;E669&amp;F669,productID!$A$2:$B$7,2,FALSE))</f>
        <v>StSwTFA220</v>
      </c>
      <c r="H669" s="10">
        <v>2022.0</v>
      </c>
      <c r="I669" s="10" t="s">
        <v>51</v>
      </c>
      <c r="J669" s="10">
        <v>12.987083494145558</v>
      </c>
      <c r="K669" s="11">
        <f t="shared" ref="K669:K700" si="1">L669*2.5584</f>
        <v>8.658055663</v>
      </c>
      <c r="L669" s="13">
        <v>3.38416809832853</v>
      </c>
      <c r="M669" s="9">
        <v>1.1381622595695697</v>
      </c>
    </row>
    <row r="670">
      <c r="A670" s="10" t="s">
        <v>10</v>
      </c>
      <c r="B670" s="10" t="s">
        <v>38</v>
      </c>
      <c r="C670" s="10" t="s">
        <v>40</v>
      </c>
      <c r="D670" s="10" t="s">
        <v>13</v>
      </c>
      <c r="E670" s="10" t="s">
        <v>29</v>
      </c>
      <c r="F670" s="10">
        <v>220.0</v>
      </c>
      <c r="G670" s="10" t="str">
        <f>IFERROR(VLOOKUP(C670&amp;D670&amp;E670&amp;F670,productID!$A$2:$B$7,2,FALSE))</f>
        <v>StSwTFA220</v>
      </c>
      <c r="H670" s="10">
        <v>2022.0</v>
      </c>
      <c r="I670" s="10" t="s">
        <v>52</v>
      </c>
      <c r="J670" s="10">
        <v>19.910984161176714</v>
      </c>
      <c r="K670" s="11">
        <f t="shared" si="1"/>
        <v>13.27398944</v>
      </c>
      <c r="L670" s="13">
        <v>5.1883948721015</v>
      </c>
      <c r="M670" s="9">
        <v>1.7377506241607727</v>
      </c>
    </row>
    <row r="671">
      <c r="A671" s="10" t="s">
        <v>10</v>
      </c>
      <c r="B671" s="10" t="s">
        <v>38</v>
      </c>
      <c r="C671" s="10" t="s">
        <v>40</v>
      </c>
      <c r="D671" s="10" t="s">
        <v>13</v>
      </c>
      <c r="E671" s="10" t="s">
        <v>29</v>
      </c>
      <c r="F671" s="10">
        <v>220.0</v>
      </c>
      <c r="G671" s="10" t="str">
        <f>IFERROR(VLOOKUP(C671&amp;D671&amp;E671&amp;F671,productID!$A$2:$B$7,2,FALSE))</f>
        <v>StSwTFA220</v>
      </c>
      <c r="H671" s="10">
        <v>2022.0</v>
      </c>
      <c r="I671" s="10" t="s">
        <v>53</v>
      </c>
      <c r="J671" s="10">
        <v>18.17754818790435</v>
      </c>
      <c r="K671" s="11">
        <f t="shared" si="1"/>
        <v>12.11836546</v>
      </c>
      <c r="L671" s="13">
        <v>4.73669694285604</v>
      </c>
      <c r="M671" s="9">
        <v>1.5889245527480933</v>
      </c>
    </row>
    <row r="672">
      <c r="A672" s="10" t="s">
        <v>10</v>
      </c>
      <c r="B672" s="10" t="s">
        <v>38</v>
      </c>
      <c r="C672" s="10" t="s">
        <v>40</v>
      </c>
      <c r="D672" s="10" t="s">
        <v>13</v>
      </c>
      <c r="E672" s="10" t="s">
        <v>29</v>
      </c>
      <c r="F672" s="10">
        <v>220.0</v>
      </c>
      <c r="G672" s="10" t="str">
        <f>IFERROR(VLOOKUP(C672&amp;D672&amp;E672&amp;F672,productID!$A$2:$B$7,2,FALSE))</f>
        <v>StSwTFA220</v>
      </c>
      <c r="H672" s="10">
        <v>2022.0</v>
      </c>
      <c r="I672" s="10" t="s">
        <v>54</v>
      </c>
      <c r="J672" s="10">
        <v>19.288072280842925</v>
      </c>
      <c r="K672" s="11">
        <f t="shared" si="1"/>
        <v>12.85871485</v>
      </c>
      <c r="L672" s="13">
        <v>5.02607678779522</v>
      </c>
      <c r="M672" s="9">
        <v>1.7466989352416848</v>
      </c>
    </row>
    <row r="673">
      <c r="A673" s="10" t="s">
        <v>10</v>
      </c>
      <c r="B673" s="10" t="s">
        <v>38</v>
      </c>
      <c r="C673" s="10" t="s">
        <v>40</v>
      </c>
      <c r="D673" s="10" t="s">
        <v>13</v>
      </c>
      <c r="E673" s="10" t="s">
        <v>29</v>
      </c>
      <c r="F673" s="10">
        <v>220.0</v>
      </c>
      <c r="G673" s="10" t="str">
        <f>IFERROR(VLOOKUP(C673&amp;D673&amp;E673&amp;F673,productID!$A$2:$B$7,2,FALSE))</f>
        <v>StSwTFA220</v>
      </c>
      <c r="H673" s="10">
        <v>2023.0</v>
      </c>
      <c r="I673" s="10" t="s">
        <v>51</v>
      </c>
      <c r="J673" s="10">
        <v>24.75185471031557</v>
      </c>
      <c r="K673" s="11">
        <f t="shared" si="1"/>
        <v>16.50123647</v>
      </c>
      <c r="L673" s="13">
        <v>6.44982663912747</v>
      </c>
      <c r="M673" s="9">
        <v>2.0987680417180594</v>
      </c>
    </row>
    <row r="674">
      <c r="A674" s="10" t="s">
        <v>10</v>
      </c>
      <c r="B674" s="10" t="s">
        <v>38</v>
      </c>
      <c r="C674" s="10" t="s">
        <v>40</v>
      </c>
      <c r="D674" s="10" t="s">
        <v>13</v>
      </c>
      <c r="E674" s="10" t="s">
        <v>29</v>
      </c>
      <c r="F674" s="10">
        <v>220.0</v>
      </c>
      <c r="G674" s="10" t="str">
        <f>IFERROR(VLOOKUP(C674&amp;D674&amp;E674&amp;F674,productID!$A$2:$B$7,2,FALSE))</f>
        <v>StSwTFA220</v>
      </c>
      <c r="H674" s="10">
        <v>2023.0</v>
      </c>
      <c r="I674" s="10" t="s">
        <v>52</v>
      </c>
      <c r="J674" s="10">
        <v>30.541711065593887</v>
      </c>
      <c r="K674" s="11">
        <f t="shared" si="1"/>
        <v>20.36114071</v>
      </c>
      <c r="L674" s="13">
        <v>7.95854468042367</v>
      </c>
      <c r="M674" s="9">
        <v>2.4136501943728756</v>
      </c>
    </row>
    <row r="675">
      <c r="A675" s="10" t="s">
        <v>10</v>
      </c>
      <c r="B675" s="10" t="s">
        <v>38</v>
      </c>
      <c r="C675" s="10" t="s">
        <v>40</v>
      </c>
      <c r="D675" s="10" t="s">
        <v>13</v>
      </c>
      <c r="E675" s="10" t="s">
        <v>29</v>
      </c>
      <c r="F675" s="10">
        <v>220.0</v>
      </c>
      <c r="G675" s="10" t="str">
        <f>IFERROR(VLOOKUP(C675&amp;D675&amp;E675&amp;F675,productID!$A$2:$B$7,2,FALSE))</f>
        <v>StSwTFA220</v>
      </c>
      <c r="H675" s="10">
        <v>2023.0</v>
      </c>
      <c r="I675" s="10" t="s">
        <v>53</v>
      </c>
      <c r="J675" s="10">
        <v>28.559470091518236</v>
      </c>
      <c r="K675" s="11">
        <f t="shared" si="1"/>
        <v>19.03964673</v>
      </c>
      <c r="L675" s="13">
        <v>7.44201326128784</v>
      </c>
      <c r="M675" s="9">
        <v>2.3134331297849102</v>
      </c>
    </row>
    <row r="676">
      <c r="A676" s="10" t="s">
        <v>10</v>
      </c>
      <c r="B676" s="10" t="s">
        <v>38</v>
      </c>
      <c r="C676" s="10" t="s">
        <v>40</v>
      </c>
      <c r="D676" s="10" t="s">
        <v>13</v>
      </c>
      <c r="E676" s="10" t="s">
        <v>29</v>
      </c>
      <c r="F676" s="10">
        <v>220.0</v>
      </c>
      <c r="G676" s="10" t="str">
        <f>IFERROR(VLOOKUP(C676&amp;D676&amp;E676&amp;F676,productID!$A$2:$B$7,2,FALSE))</f>
        <v>StSwTFA220</v>
      </c>
      <c r="H676" s="10">
        <v>2023.0</v>
      </c>
      <c r="I676" s="10" t="s">
        <v>54</v>
      </c>
      <c r="J676" s="10">
        <v>26.041887094937778</v>
      </c>
      <c r="K676" s="11">
        <f t="shared" si="1"/>
        <v>17.36125806</v>
      </c>
      <c r="L676" s="13">
        <v>6.78598267014222</v>
      </c>
      <c r="M676" s="9">
        <v>2.240791618743876</v>
      </c>
    </row>
    <row r="677">
      <c r="A677" s="10" t="s">
        <v>24</v>
      </c>
      <c r="B677" s="10" t="s">
        <v>38</v>
      </c>
      <c r="C677" s="10" t="s">
        <v>40</v>
      </c>
      <c r="D677" s="10" t="s">
        <v>13</v>
      </c>
      <c r="E677" s="10" t="s">
        <v>29</v>
      </c>
      <c r="F677" s="10">
        <v>220.0</v>
      </c>
      <c r="G677" s="10" t="str">
        <f>IFERROR(VLOOKUP(C677&amp;D677&amp;E677&amp;F677,productID!$A$2:$B$7,2,FALSE))</f>
        <v>StSwTFA220</v>
      </c>
      <c r="H677" s="10">
        <v>2022.0</v>
      </c>
      <c r="I677" s="10" t="s">
        <v>51</v>
      </c>
      <c r="J677" s="10">
        <v>0.4886400445194601</v>
      </c>
      <c r="K677" s="11">
        <f t="shared" si="1"/>
        <v>0.3257600297</v>
      </c>
      <c r="L677" s="13">
        <v>0.12732959258898</v>
      </c>
      <c r="M677" s="9">
        <v>0.054573369300068585</v>
      </c>
    </row>
    <row r="678">
      <c r="A678" s="10" t="s">
        <v>24</v>
      </c>
      <c r="B678" s="10" t="s">
        <v>38</v>
      </c>
      <c r="C678" s="10" t="s">
        <v>40</v>
      </c>
      <c r="D678" s="10" t="s">
        <v>13</v>
      </c>
      <c r="E678" s="10" t="s">
        <v>29</v>
      </c>
      <c r="F678" s="10">
        <v>220.0</v>
      </c>
      <c r="G678" s="10" t="str">
        <f>IFERROR(VLOOKUP(C678&amp;D678&amp;E678&amp;F678,productID!$A$2:$B$7,2,FALSE))</f>
        <v>StSwTFA220</v>
      </c>
      <c r="H678" s="10">
        <v>2022.0</v>
      </c>
      <c r="I678" s="10" t="s">
        <v>52</v>
      </c>
      <c r="J678" s="10">
        <v>1.6449703115120164</v>
      </c>
      <c r="K678" s="11">
        <f t="shared" si="1"/>
        <v>1.096646874</v>
      </c>
      <c r="L678" s="13">
        <v>0.42864558878258</v>
      </c>
      <c r="M678" s="9">
        <v>0.17561467417249232</v>
      </c>
    </row>
    <row r="679">
      <c r="A679" s="10" t="s">
        <v>24</v>
      </c>
      <c r="B679" s="10" t="s">
        <v>38</v>
      </c>
      <c r="C679" s="10" t="s">
        <v>40</v>
      </c>
      <c r="D679" s="10" t="s">
        <v>13</v>
      </c>
      <c r="E679" s="10" t="s">
        <v>29</v>
      </c>
      <c r="F679" s="10">
        <v>220.0</v>
      </c>
      <c r="G679" s="10" t="str">
        <f>IFERROR(VLOOKUP(C679&amp;D679&amp;E679&amp;F679,productID!$A$2:$B$7,2,FALSE))</f>
        <v>StSwTFA220</v>
      </c>
      <c r="H679" s="10">
        <v>2022.0</v>
      </c>
      <c r="I679" s="10" t="s">
        <v>53</v>
      </c>
      <c r="J679" s="10">
        <v>2.3570345473144507</v>
      </c>
      <c r="K679" s="11">
        <f t="shared" si="1"/>
        <v>1.571356365</v>
      </c>
      <c r="L679" s="13">
        <v>0.61419495187473</v>
      </c>
      <c r="M679" s="9">
        <v>0.24491761284516558</v>
      </c>
    </row>
    <row r="680">
      <c r="A680" s="10" t="s">
        <v>24</v>
      </c>
      <c r="B680" s="10" t="s">
        <v>38</v>
      </c>
      <c r="C680" s="10" t="s">
        <v>40</v>
      </c>
      <c r="D680" s="10" t="s">
        <v>13</v>
      </c>
      <c r="E680" s="10" t="s">
        <v>29</v>
      </c>
      <c r="F680" s="10">
        <v>220.0</v>
      </c>
      <c r="G680" s="10" t="str">
        <f>IFERROR(VLOOKUP(C680&amp;D680&amp;E680&amp;F680,productID!$A$2:$B$7,2,FALSE))</f>
        <v>StSwTFA220</v>
      </c>
      <c r="H680" s="10">
        <v>2022.0</v>
      </c>
      <c r="I680" s="10" t="s">
        <v>54</v>
      </c>
      <c r="J680" s="10">
        <v>2.207673811405275</v>
      </c>
      <c r="K680" s="11">
        <f t="shared" si="1"/>
        <v>1.471782541</v>
      </c>
      <c r="L680" s="13">
        <v>0.57527460167951</v>
      </c>
      <c r="M680" s="9">
        <v>0.23700078469408403</v>
      </c>
    </row>
    <row r="681">
      <c r="A681" s="10" t="s">
        <v>24</v>
      </c>
      <c r="B681" s="10" t="s">
        <v>38</v>
      </c>
      <c r="C681" s="10" t="s">
        <v>40</v>
      </c>
      <c r="D681" s="10" t="s">
        <v>13</v>
      </c>
      <c r="E681" s="10" t="s">
        <v>29</v>
      </c>
      <c r="F681" s="10">
        <v>220.0</v>
      </c>
      <c r="G681" s="10" t="str">
        <f>IFERROR(VLOOKUP(C681&amp;D681&amp;E681&amp;F681,productID!$A$2:$B$7,2,FALSE))</f>
        <v>StSwTFA220</v>
      </c>
      <c r="H681" s="10">
        <v>2023.0</v>
      </c>
      <c r="I681" s="10" t="s">
        <v>51</v>
      </c>
      <c r="J681" s="10">
        <v>2.059393322019641</v>
      </c>
      <c r="K681" s="11">
        <f t="shared" si="1"/>
        <v>1.372928881</v>
      </c>
      <c r="L681" s="13">
        <v>0.53663574161446</v>
      </c>
      <c r="M681" s="9">
        <v>0.21535871084922115</v>
      </c>
    </row>
    <row r="682">
      <c r="A682" s="10" t="s">
        <v>24</v>
      </c>
      <c r="B682" s="10" t="s">
        <v>38</v>
      </c>
      <c r="C682" s="10" t="s">
        <v>40</v>
      </c>
      <c r="D682" s="10" t="s">
        <v>13</v>
      </c>
      <c r="E682" s="10" t="s">
        <v>29</v>
      </c>
      <c r="F682" s="10">
        <v>220.0</v>
      </c>
      <c r="G682" s="10" t="str">
        <f>IFERROR(VLOOKUP(C682&amp;D682&amp;E682&amp;F682,productID!$A$2:$B$7,2,FALSE))</f>
        <v>StSwTFA220</v>
      </c>
      <c r="H682" s="10">
        <v>2023.0</v>
      </c>
      <c r="I682" s="10" t="s">
        <v>52</v>
      </c>
      <c r="J682" s="10">
        <v>2.0449027026814828</v>
      </c>
      <c r="K682" s="11">
        <f t="shared" si="1"/>
        <v>1.363268468</v>
      </c>
      <c r="L682" s="13">
        <v>0.53285978285425</v>
      </c>
      <c r="M682" s="9">
        <v>0.21103979502219467</v>
      </c>
    </row>
    <row r="683">
      <c r="A683" s="10" t="s">
        <v>24</v>
      </c>
      <c r="B683" s="10" t="s">
        <v>38</v>
      </c>
      <c r="C683" s="10" t="s">
        <v>40</v>
      </c>
      <c r="D683" s="10" t="s">
        <v>13</v>
      </c>
      <c r="E683" s="10" t="s">
        <v>29</v>
      </c>
      <c r="F683" s="10">
        <v>220.0</v>
      </c>
      <c r="G683" s="10" t="str">
        <f>IFERROR(VLOOKUP(C683&amp;D683&amp;E683&amp;F683,productID!$A$2:$B$7,2,FALSE))</f>
        <v>StSwTFA220</v>
      </c>
      <c r="H683" s="10">
        <v>2023.0</v>
      </c>
      <c r="I683" s="10" t="s">
        <v>53</v>
      </c>
      <c r="J683" s="10">
        <v>3.4102743749022646</v>
      </c>
      <c r="K683" s="11">
        <f t="shared" si="1"/>
        <v>2.27351625</v>
      </c>
      <c r="L683" s="13">
        <v>0.88864768993701</v>
      </c>
      <c r="M683" s="9">
        <v>0.3746097300737455</v>
      </c>
    </row>
    <row r="684">
      <c r="A684" s="10" t="s">
        <v>24</v>
      </c>
      <c r="B684" s="10" t="s">
        <v>38</v>
      </c>
      <c r="C684" s="10" t="s">
        <v>40</v>
      </c>
      <c r="D684" s="10" t="s">
        <v>13</v>
      </c>
      <c r="E684" s="10" t="s">
        <v>29</v>
      </c>
      <c r="F684" s="10">
        <v>220.0</v>
      </c>
      <c r="G684" s="10" t="str">
        <f>IFERROR(VLOOKUP(C684&amp;D684&amp;E684&amp;F684,productID!$A$2:$B$7,2,FALSE))</f>
        <v>StSwTFA220</v>
      </c>
      <c r="H684" s="10">
        <v>2023.0</v>
      </c>
      <c r="I684" s="10" t="s">
        <v>54</v>
      </c>
      <c r="J684" s="10">
        <v>1.7345298974249757</v>
      </c>
      <c r="K684" s="11">
        <f t="shared" si="1"/>
        <v>1.156353265</v>
      </c>
      <c r="L684" s="13">
        <v>0.45198298348577</v>
      </c>
      <c r="M684" s="9">
        <v>0.21996505889928603</v>
      </c>
    </row>
    <row r="685">
      <c r="A685" s="10" t="s">
        <v>25</v>
      </c>
      <c r="B685" s="10" t="s">
        <v>38</v>
      </c>
      <c r="C685" s="10" t="s">
        <v>40</v>
      </c>
      <c r="D685" s="10" t="s">
        <v>13</v>
      </c>
      <c r="E685" s="10" t="s">
        <v>29</v>
      </c>
      <c r="F685" s="10">
        <v>220.0</v>
      </c>
      <c r="G685" s="10" t="str">
        <f>IFERROR(VLOOKUP(C685&amp;D685&amp;E685&amp;F685,productID!$A$2:$B$7,2,FALSE))</f>
        <v>StSwTFA220</v>
      </c>
      <c r="H685" s="10">
        <v>2022.0</v>
      </c>
      <c r="I685" s="10" t="s">
        <v>51</v>
      </c>
      <c r="J685" s="10">
        <v>6.567908190858635</v>
      </c>
      <c r="K685" s="11">
        <f t="shared" si="1"/>
        <v>4.378605461</v>
      </c>
      <c r="L685" s="13">
        <v>1.71146242204988</v>
      </c>
      <c r="M685" s="9">
        <v>0.6720854176925954</v>
      </c>
    </row>
    <row r="686">
      <c r="A686" s="10" t="s">
        <v>25</v>
      </c>
      <c r="B686" s="10" t="s">
        <v>38</v>
      </c>
      <c r="C686" s="10" t="s">
        <v>40</v>
      </c>
      <c r="D686" s="10" t="s">
        <v>13</v>
      </c>
      <c r="E686" s="10" t="s">
        <v>29</v>
      </c>
      <c r="F686" s="10">
        <v>220.0</v>
      </c>
      <c r="G686" s="10" t="str">
        <f>IFERROR(VLOOKUP(C686&amp;D686&amp;E686&amp;F686,productID!$A$2:$B$7,2,FALSE))</f>
        <v>StSwTFA220</v>
      </c>
      <c r="H686" s="10">
        <v>2022.0</v>
      </c>
      <c r="I686" s="10" t="s">
        <v>52</v>
      </c>
      <c r="J686" s="10">
        <v>8.79893509153541</v>
      </c>
      <c r="K686" s="11">
        <f t="shared" si="1"/>
        <v>5.865956728</v>
      </c>
      <c r="L686" s="13">
        <v>2.29282236072947</v>
      </c>
      <c r="M686" s="9">
        <v>0.892451418786093</v>
      </c>
    </row>
    <row r="687">
      <c r="A687" s="10" t="s">
        <v>25</v>
      </c>
      <c r="B687" s="10" t="s">
        <v>38</v>
      </c>
      <c r="C687" s="10" t="s">
        <v>40</v>
      </c>
      <c r="D687" s="10" t="s">
        <v>13</v>
      </c>
      <c r="E687" s="10" t="s">
        <v>29</v>
      </c>
      <c r="F687" s="10">
        <v>220.0</v>
      </c>
      <c r="G687" s="10" t="str">
        <f>IFERROR(VLOOKUP(C687&amp;D687&amp;E687&amp;F687,productID!$A$2:$B$7,2,FALSE))</f>
        <v>StSwTFA220</v>
      </c>
      <c r="H687" s="10">
        <v>2022.0</v>
      </c>
      <c r="I687" s="10" t="s">
        <v>53</v>
      </c>
      <c r="J687" s="10">
        <v>8.01890917056193</v>
      </c>
      <c r="K687" s="11">
        <f t="shared" si="1"/>
        <v>5.345939447</v>
      </c>
      <c r="L687" s="13">
        <v>2.08956357373409</v>
      </c>
      <c r="M687" s="9">
        <v>0.7821196168706716</v>
      </c>
    </row>
    <row r="688">
      <c r="A688" s="10" t="s">
        <v>25</v>
      </c>
      <c r="B688" s="10" t="s">
        <v>38</v>
      </c>
      <c r="C688" s="10" t="s">
        <v>40</v>
      </c>
      <c r="D688" s="10" t="s">
        <v>13</v>
      </c>
      <c r="E688" s="10" t="s">
        <v>29</v>
      </c>
      <c r="F688" s="10">
        <v>220.0</v>
      </c>
      <c r="G688" s="10" t="str">
        <f>IFERROR(VLOOKUP(C688&amp;D688&amp;E688&amp;F688,productID!$A$2:$B$7,2,FALSE))</f>
        <v>StSwTFA220</v>
      </c>
      <c r="H688" s="10">
        <v>2022.0</v>
      </c>
      <c r="I688" s="10" t="s">
        <v>54</v>
      </c>
      <c r="J688" s="10">
        <v>8.940811031588707</v>
      </c>
      <c r="K688" s="11">
        <f t="shared" si="1"/>
        <v>5.960540688</v>
      </c>
      <c r="L688" s="13">
        <v>2.32979232634686</v>
      </c>
      <c r="M688" s="9">
        <v>0.8602115430896945</v>
      </c>
    </row>
    <row r="689">
      <c r="A689" s="10" t="s">
        <v>25</v>
      </c>
      <c r="B689" s="10" t="s">
        <v>38</v>
      </c>
      <c r="C689" s="10" t="s">
        <v>40</v>
      </c>
      <c r="D689" s="10" t="s">
        <v>13</v>
      </c>
      <c r="E689" s="10" t="s">
        <v>29</v>
      </c>
      <c r="F689" s="10">
        <v>220.0</v>
      </c>
      <c r="G689" s="10" t="str">
        <f>IFERROR(VLOOKUP(C689&amp;D689&amp;E689&amp;F689,productID!$A$2:$B$7,2,FALSE))</f>
        <v>StSwTFA220</v>
      </c>
      <c r="H689" s="10">
        <v>2023.0</v>
      </c>
      <c r="I689" s="10" t="s">
        <v>51</v>
      </c>
      <c r="J689" s="10">
        <v>10.361899744402107</v>
      </c>
      <c r="K689" s="11">
        <f t="shared" si="1"/>
        <v>6.907933163</v>
      </c>
      <c r="L689" s="13">
        <v>2.70009895361739</v>
      </c>
      <c r="M689" s="9">
        <v>0.9435860742996022</v>
      </c>
    </row>
    <row r="690">
      <c r="A690" s="10" t="s">
        <v>25</v>
      </c>
      <c r="B690" s="10" t="s">
        <v>38</v>
      </c>
      <c r="C690" s="10" t="s">
        <v>40</v>
      </c>
      <c r="D690" s="10" t="s">
        <v>13</v>
      </c>
      <c r="E690" s="10" t="s">
        <v>29</v>
      </c>
      <c r="F690" s="10">
        <v>220.0</v>
      </c>
      <c r="G690" s="10" t="str">
        <f>IFERROR(VLOOKUP(C690&amp;D690&amp;E690&amp;F690,productID!$A$2:$B$7,2,FALSE))</f>
        <v>StSwTFA220</v>
      </c>
      <c r="H690" s="10">
        <v>2023.0</v>
      </c>
      <c r="I690" s="10" t="s">
        <v>52</v>
      </c>
      <c r="J690" s="10">
        <v>10.645269419825107</v>
      </c>
      <c r="K690" s="11">
        <f t="shared" si="1"/>
        <v>7.09684628</v>
      </c>
      <c r="L690" s="13">
        <v>2.77393929013579</v>
      </c>
      <c r="M690" s="9">
        <v>0.9557948615995095</v>
      </c>
    </row>
    <row r="691">
      <c r="A691" s="10" t="s">
        <v>25</v>
      </c>
      <c r="B691" s="10" t="s">
        <v>38</v>
      </c>
      <c r="C691" s="10" t="s">
        <v>40</v>
      </c>
      <c r="D691" s="10" t="s">
        <v>13</v>
      </c>
      <c r="E691" s="10" t="s">
        <v>29</v>
      </c>
      <c r="F691" s="10">
        <v>220.0</v>
      </c>
      <c r="G691" s="10" t="str">
        <f>IFERROR(VLOOKUP(C691&amp;D691&amp;E691&amp;F691,productID!$A$2:$B$7,2,FALSE))</f>
        <v>StSwTFA220</v>
      </c>
      <c r="H691" s="10">
        <v>2023.0</v>
      </c>
      <c r="I691" s="10" t="s">
        <v>53</v>
      </c>
      <c r="J691" s="10">
        <v>10.78486528052279</v>
      </c>
      <c r="K691" s="11">
        <f t="shared" si="1"/>
        <v>7.189910187</v>
      </c>
      <c r="L691" s="13">
        <v>2.8103151137489</v>
      </c>
      <c r="M691" s="9">
        <v>1.0278622682978917</v>
      </c>
    </row>
    <row r="692">
      <c r="A692" s="10" t="s">
        <v>25</v>
      </c>
      <c r="B692" s="10" t="s">
        <v>38</v>
      </c>
      <c r="C692" s="10" t="s">
        <v>40</v>
      </c>
      <c r="D692" s="10" t="s">
        <v>13</v>
      </c>
      <c r="E692" s="10" t="s">
        <v>29</v>
      </c>
      <c r="F692" s="10">
        <v>220.0</v>
      </c>
      <c r="G692" s="10" t="str">
        <f>IFERROR(VLOOKUP(C692&amp;D692&amp;E692&amp;F692,productID!$A$2:$B$7,2,FALSE))</f>
        <v>StSwTFA220</v>
      </c>
      <c r="H692" s="10">
        <v>2023.0</v>
      </c>
      <c r="I692" s="10" t="s">
        <v>54</v>
      </c>
      <c r="J692" s="10">
        <v>6.699070778579422</v>
      </c>
      <c r="K692" s="11">
        <f t="shared" si="1"/>
        <v>4.466047186</v>
      </c>
      <c r="L692" s="13">
        <v>1.74564070736383</v>
      </c>
      <c r="M692" s="9">
        <v>0.6818361945048073</v>
      </c>
    </row>
    <row r="693">
      <c r="A693" s="10" t="s">
        <v>26</v>
      </c>
      <c r="B693" s="10" t="s">
        <v>38</v>
      </c>
      <c r="C693" s="10" t="s">
        <v>40</v>
      </c>
      <c r="D693" s="10" t="s">
        <v>13</v>
      </c>
      <c r="E693" s="10" t="s">
        <v>29</v>
      </c>
      <c r="F693" s="10">
        <v>220.0</v>
      </c>
      <c r="G693" s="10" t="str">
        <f>IFERROR(VLOOKUP(C693&amp;D693&amp;E693&amp;F693,productID!$A$2:$B$7,2,FALSE))</f>
        <v>StSwTFA220</v>
      </c>
      <c r="H693" s="10">
        <v>2022.0</v>
      </c>
      <c r="I693" s="10" t="s">
        <v>51</v>
      </c>
      <c r="J693" s="10">
        <v>46.2816343799325</v>
      </c>
      <c r="K693" s="11">
        <f t="shared" si="1"/>
        <v>30.85442292</v>
      </c>
      <c r="L693" s="13">
        <v>12.0600464821588</v>
      </c>
      <c r="M693" s="9">
        <v>2.2404719680910965</v>
      </c>
    </row>
    <row r="694">
      <c r="A694" s="10" t="s">
        <v>26</v>
      </c>
      <c r="B694" s="10" t="s">
        <v>38</v>
      </c>
      <c r="C694" s="10" t="s">
        <v>40</v>
      </c>
      <c r="D694" s="10" t="s">
        <v>13</v>
      </c>
      <c r="E694" s="10" t="s">
        <v>29</v>
      </c>
      <c r="F694" s="10">
        <v>220.0</v>
      </c>
      <c r="G694" s="10" t="str">
        <f>IFERROR(VLOOKUP(C694&amp;D694&amp;E694&amp;F694,productID!$A$2:$B$7,2,FALSE))</f>
        <v>StSwTFA220</v>
      </c>
      <c r="H694" s="10">
        <v>2022.0</v>
      </c>
      <c r="I694" s="10" t="s">
        <v>52</v>
      </c>
      <c r="J694" s="10">
        <v>63.385983111183165</v>
      </c>
      <c r="K694" s="11">
        <f t="shared" si="1"/>
        <v>42.25732207</v>
      </c>
      <c r="L694" s="13">
        <v>16.5170896162141</v>
      </c>
      <c r="M694" s="9">
        <v>3.0184198689472312</v>
      </c>
    </row>
    <row r="695">
      <c r="A695" s="10" t="s">
        <v>26</v>
      </c>
      <c r="B695" s="10" t="s">
        <v>38</v>
      </c>
      <c r="C695" s="10" t="s">
        <v>40</v>
      </c>
      <c r="D695" s="10" t="s">
        <v>13</v>
      </c>
      <c r="E695" s="10" t="s">
        <v>29</v>
      </c>
      <c r="F695" s="10">
        <v>220.0</v>
      </c>
      <c r="G695" s="10" t="str">
        <f>IFERROR(VLOOKUP(C695&amp;D695&amp;E695&amp;F695,productID!$A$2:$B$7,2,FALSE))</f>
        <v>StSwTFA220</v>
      </c>
      <c r="H695" s="10">
        <v>2022.0</v>
      </c>
      <c r="I695" s="10" t="s">
        <v>53</v>
      </c>
      <c r="J695" s="10">
        <v>56.974201656966656</v>
      </c>
      <c r="K695" s="11">
        <f t="shared" si="1"/>
        <v>37.9828011</v>
      </c>
      <c r="L695" s="13">
        <v>14.8463106256428</v>
      </c>
      <c r="M695" s="9">
        <v>2.7201988900348444</v>
      </c>
    </row>
    <row r="696">
      <c r="A696" s="10" t="s">
        <v>26</v>
      </c>
      <c r="B696" s="10" t="s">
        <v>38</v>
      </c>
      <c r="C696" s="10" t="s">
        <v>40</v>
      </c>
      <c r="D696" s="10" t="s">
        <v>13</v>
      </c>
      <c r="E696" s="10" t="s">
        <v>29</v>
      </c>
      <c r="F696" s="10">
        <v>220.0</v>
      </c>
      <c r="G696" s="10" t="str">
        <f>IFERROR(VLOOKUP(C696&amp;D696&amp;E696&amp;F696,productID!$A$2:$B$7,2,FALSE))</f>
        <v>StSwTFA220</v>
      </c>
      <c r="H696" s="10">
        <v>2022.0</v>
      </c>
      <c r="I696" s="10" t="s">
        <v>54</v>
      </c>
      <c r="J696" s="10">
        <v>62.77595153584816</v>
      </c>
      <c r="K696" s="11">
        <f t="shared" si="1"/>
        <v>41.85063436</v>
      </c>
      <c r="L696" s="13">
        <v>16.3581278757161</v>
      </c>
      <c r="M696" s="9">
        <v>2.9405670113768823</v>
      </c>
    </row>
    <row r="697">
      <c r="A697" s="10" t="s">
        <v>26</v>
      </c>
      <c r="B697" s="10" t="s">
        <v>38</v>
      </c>
      <c r="C697" s="10" t="s">
        <v>40</v>
      </c>
      <c r="D697" s="10" t="s">
        <v>13</v>
      </c>
      <c r="E697" s="10" t="s">
        <v>29</v>
      </c>
      <c r="F697" s="10">
        <v>220.0</v>
      </c>
      <c r="G697" s="10" t="str">
        <f>IFERROR(VLOOKUP(C697&amp;D697&amp;E697&amp;F697,productID!$A$2:$B$7,2,FALSE))</f>
        <v>StSwTFA220</v>
      </c>
      <c r="H697" s="10">
        <v>2023.0</v>
      </c>
      <c r="I697" s="10" t="s">
        <v>51</v>
      </c>
      <c r="J697" s="10">
        <v>75.95711218609922</v>
      </c>
      <c r="K697" s="11">
        <f t="shared" si="1"/>
        <v>50.63807479</v>
      </c>
      <c r="L697" s="13">
        <v>19.7928685079475</v>
      </c>
      <c r="M697" s="9">
        <v>3.522839984629105</v>
      </c>
    </row>
    <row r="698">
      <c r="A698" s="10" t="s">
        <v>26</v>
      </c>
      <c r="B698" s="10" t="s">
        <v>38</v>
      </c>
      <c r="C698" s="10" t="s">
        <v>40</v>
      </c>
      <c r="D698" s="10" t="s">
        <v>13</v>
      </c>
      <c r="E698" s="10" t="s">
        <v>29</v>
      </c>
      <c r="F698" s="10">
        <v>220.0</v>
      </c>
      <c r="G698" s="10" t="str">
        <f>IFERROR(VLOOKUP(C698&amp;D698&amp;E698&amp;F698,productID!$A$2:$B$7,2,FALSE))</f>
        <v>StSwTFA220</v>
      </c>
      <c r="H698" s="10">
        <v>2023.0</v>
      </c>
      <c r="I698" s="10" t="s">
        <v>52</v>
      </c>
      <c r="J698" s="10">
        <v>78.63691735678388</v>
      </c>
      <c r="K698" s="11">
        <f t="shared" si="1"/>
        <v>52.42461157</v>
      </c>
      <c r="L698" s="13">
        <v>20.4911708767938</v>
      </c>
      <c r="M698" s="9">
        <v>3.529044908190743</v>
      </c>
    </row>
    <row r="699">
      <c r="A699" s="10" t="s">
        <v>26</v>
      </c>
      <c r="B699" s="10" t="s">
        <v>38</v>
      </c>
      <c r="C699" s="10" t="s">
        <v>40</v>
      </c>
      <c r="D699" s="10" t="s">
        <v>13</v>
      </c>
      <c r="E699" s="10" t="s">
        <v>29</v>
      </c>
      <c r="F699" s="10">
        <v>220.0</v>
      </c>
      <c r="G699" s="10" t="str">
        <f>IFERROR(VLOOKUP(C699&amp;D699&amp;E699&amp;F699,productID!$A$2:$B$7,2,FALSE))</f>
        <v>StSwTFA220</v>
      </c>
      <c r="H699" s="10">
        <v>2023.0</v>
      </c>
      <c r="I699" s="10" t="s">
        <v>53</v>
      </c>
      <c r="J699" s="10">
        <v>78.00086600256466</v>
      </c>
      <c r="K699" s="11">
        <f t="shared" si="1"/>
        <v>52.00057734</v>
      </c>
      <c r="L699" s="13">
        <v>20.3254289145728</v>
      </c>
      <c r="M699" s="9">
        <v>3.57920348865013</v>
      </c>
    </row>
    <row r="700">
      <c r="A700" s="10" t="s">
        <v>26</v>
      </c>
      <c r="B700" s="10" t="s">
        <v>38</v>
      </c>
      <c r="C700" s="10" t="s">
        <v>40</v>
      </c>
      <c r="D700" s="10" t="s">
        <v>13</v>
      </c>
      <c r="E700" s="10" t="s">
        <v>29</v>
      </c>
      <c r="F700" s="10">
        <v>220.0</v>
      </c>
      <c r="G700" s="10" t="str">
        <f>IFERROR(VLOOKUP(C700&amp;D700&amp;E700&amp;F700,productID!$A$2:$B$7,2,FALSE))</f>
        <v>StSwTFA220</v>
      </c>
      <c r="H700" s="10">
        <v>2023.0</v>
      </c>
      <c r="I700" s="10" t="s">
        <v>54</v>
      </c>
      <c r="J700" s="10">
        <v>73.26973252514576</v>
      </c>
      <c r="K700" s="11">
        <f t="shared" si="1"/>
        <v>48.84648835</v>
      </c>
      <c r="L700" s="13">
        <v>19.0925923819955</v>
      </c>
      <c r="M700" s="9">
        <v>3.484423080237319</v>
      </c>
    </row>
    <row r="701">
      <c r="A701" s="10" t="s">
        <v>10</v>
      </c>
      <c r="B701" s="10" t="s">
        <v>41</v>
      </c>
      <c r="C701" s="10" t="s">
        <v>42</v>
      </c>
      <c r="D701" s="10" t="s">
        <v>37</v>
      </c>
      <c r="E701" s="10" t="s">
        <v>43</v>
      </c>
      <c r="F701" s="10">
        <v>237.0</v>
      </c>
      <c r="G701" s="10" t="str">
        <f>IFERROR(VLOOKUP(C701&amp;D701&amp;E701&amp;F701,productID!$A$2:$B$7,2,FALSE))</f>
        <v/>
      </c>
      <c r="H701" s="10">
        <v>2022.0</v>
      </c>
      <c r="I701" s="10" t="s">
        <v>51</v>
      </c>
      <c r="J701" s="10">
        <v>23.180860413438822</v>
      </c>
      <c r="K701" s="11"/>
      <c r="L701" s="12"/>
      <c r="M701" s="9">
        <v>2.031524666705944</v>
      </c>
    </row>
    <row r="702">
      <c r="A702" s="10" t="s">
        <v>10</v>
      </c>
      <c r="B702" s="10" t="s">
        <v>41</v>
      </c>
      <c r="C702" s="10" t="s">
        <v>42</v>
      </c>
      <c r="D702" s="10" t="s">
        <v>37</v>
      </c>
      <c r="E702" s="10" t="s">
        <v>43</v>
      </c>
      <c r="F702" s="10">
        <v>237.0</v>
      </c>
      <c r="G702" s="10" t="str">
        <f>IFERROR(VLOOKUP(C702&amp;D702&amp;E702&amp;F702,productID!$A$2:$B$7,2,FALSE))</f>
        <v/>
      </c>
      <c r="H702" s="10">
        <v>2022.0</v>
      </c>
      <c r="I702" s="10" t="s">
        <v>52</v>
      </c>
      <c r="J702" s="10">
        <v>25.852943980015134</v>
      </c>
      <c r="K702" s="11"/>
      <c r="L702" s="12"/>
      <c r="M702" s="9">
        <v>2.25634098113861</v>
      </c>
    </row>
    <row r="703">
      <c r="A703" s="10" t="s">
        <v>10</v>
      </c>
      <c r="B703" s="10" t="s">
        <v>41</v>
      </c>
      <c r="C703" s="10" t="s">
        <v>42</v>
      </c>
      <c r="D703" s="10" t="s">
        <v>37</v>
      </c>
      <c r="E703" s="10" t="s">
        <v>43</v>
      </c>
      <c r="F703" s="10">
        <v>237.0</v>
      </c>
      <c r="G703" s="10" t="str">
        <f>IFERROR(VLOOKUP(C703&amp;D703&amp;E703&amp;F703,productID!$A$2:$B$7,2,FALSE))</f>
        <v/>
      </c>
      <c r="H703" s="10">
        <v>2022.0</v>
      </c>
      <c r="I703" s="10" t="s">
        <v>53</v>
      </c>
      <c r="J703" s="10">
        <v>27.059792842086047</v>
      </c>
      <c r="K703" s="11"/>
      <c r="L703" s="12"/>
      <c r="M703" s="9">
        <v>2.365333806001289</v>
      </c>
    </row>
    <row r="704">
      <c r="A704" s="10" t="s">
        <v>10</v>
      </c>
      <c r="B704" s="10" t="s">
        <v>41</v>
      </c>
      <c r="C704" s="10" t="s">
        <v>42</v>
      </c>
      <c r="D704" s="10" t="s">
        <v>37</v>
      </c>
      <c r="E704" s="10" t="s">
        <v>43</v>
      </c>
      <c r="F704" s="10">
        <v>237.0</v>
      </c>
      <c r="G704" s="10" t="str">
        <f>IFERROR(VLOOKUP(C704&amp;D704&amp;E704&amp;F704,productID!$A$2:$B$7,2,FALSE))</f>
        <v/>
      </c>
      <c r="H704" s="10">
        <v>2022.0</v>
      </c>
      <c r="I704" s="10" t="s">
        <v>54</v>
      </c>
      <c r="J704" s="10">
        <v>27.74663632681682</v>
      </c>
      <c r="K704" s="11"/>
      <c r="L704" s="12"/>
      <c r="M704" s="9">
        <v>2.5126938256408886</v>
      </c>
    </row>
    <row r="705">
      <c r="A705" s="10" t="s">
        <v>10</v>
      </c>
      <c r="B705" s="10" t="s">
        <v>41</v>
      </c>
      <c r="C705" s="10" t="s">
        <v>42</v>
      </c>
      <c r="D705" s="10" t="s">
        <v>37</v>
      </c>
      <c r="E705" s="10" t="s">
        <v>43</v>
      </c>
      <c r="F705" s="10">
        <v>237.0</v>
      </c>
      <c r="G705" s="10" t="str">
        <f>IFERROR(VLOOKUP(C705&amp;D705&amp;E705&amp;F705,productID!$A$2:$B$7,2,FALSE))</f>
        <v/>
      </c>
      <c r="H705" s="10">
        <v>2023.0</v>
      </c>
      <c r="I705" s="10" t="s">
        <v>51</v>
      </c>
      <c r="J705" s="10">
        <v>30.25100465385667</v>
      </c>
      <c r="K705" s="11"/>
      <c r="L705" s="12"/>
      <c r="M705" s="9">
        <v>2.5650539137545385</v>
      </c>
    </row>
    <row r="706">
      <c r="A706" s="10" t="s">
        <v>10</v>
      </c>
      <c r="B706" s="10" t="s">
        <v>41</v>
      </c>
      <c r="C706" s="10" t="s">
        <v>42</v>
      </c>
      <c r="D706" s="10" t="s">
        <v>37</v>
      </c>
      <c r="E706" s="10" t="s">
        <v>43</v>
      </c>
      <c r="F706" s="10">
        <v>237.0</v>
      </c>
      <c r="G706" s="10" t="str">
        <f>IFERROR(VLOOKUP(C706&amp;D706&amp;E706&amp;F706,productID!$A$2:$B$7,2,FALSE))</f>
        <v/>
      </c>
      <c r="H706" s="10">
        <v>2023.0</v>
      </c>
      <c r="I706" s="10" t="s">
        <v>52</v>
      </c>
      <c r="J706" s="10">
        <v>32.99738062791223</v>
      </c>
      <c r="K706" s="11"/>
      <c r="L706" s="12"/>
      <c r="M706" s="9">
        <v>2.6077168366666106</v>
      </c>
    </row>
    <row r="707">
      <c r="A707" s="10" t="s">
        <v>10</v>
      </c>
      <c r="B707" s="10" t="s">
        <v>41</v>
      </c>
      <c r="C707" s="10" t="s">
        <v>42</v>
      </c>
      <c r="D707" s="10" t="s">
        <v>37</v>
      </c>
      <c r="E707" s="10" t="s">
        <v>43</v>
      </c>
      <c r="F707" s="10">
        <v>237.0</v>
      </c>
      <c r="G707" s="10" t="str">
        <f>IFERROR(VLOOKUP(C707&amp;D707&amp;E707&amp;F707,productID!$A$2:$B$7,2,FALSE))</f>
        <v/>
      </c>
      <c r="H707" s="10">
        <v>2023.0</v>
      </c>
      <c r="I707" s="10" t="s">
        <v>53</v>
      </c>
      <c r="J707" s="10">
        <v>36.8804718048594</v>
      </c>
      <c r="K707" s="11"/>
      <c r="L707" s="12"/>
      <c r="M707" s="9">
        <v>2.9874680812372287</v>
      </c>
    </row>
    <row r="708">
      <c r="A708" s="10" t="s">
        <v>10</v>
      </c>
      <c r="B708" s="10" t="s">
        <v>41</v>
      </c>
      <c r="C708" s="10" t="s">
        <v>42</v>
      </c>
      <c r="D708" s="10" t="s">
        <v>37</v>
      </c>
      <c r="E708" s="10" t="s">
        <v>43</v>
      </c>
      <c r="F708" s="10">
        <v>237.0</v>
      </c>
      <c r="G708" s="10" t="str">
        <f>IFERROR(VLOOKUP(C708&amp;D708&amp;E708&amp;F708,productID!$A$2:$B$7,2,FALSE))</f>
        <v/>
      </c>
      <c r="H708" s="10">
        <v>2023.0</v>
      </c>
      <c r="I708" s="10" t="s">
        <v>54</v>
      </c>
      <c r="J708" s="10">
        <v>41.97629531345383</v>
      </c>
      <c r="K708" s="11"/>
      <c r="L708" s="12"/>
      <c r="M708" s="9">
        <v>3.61187844726465</v>
      </c>
    </row>
    <row r="709">
      <c r="A709" s="10" t="s">
        <v>24</v>
      </c>
      <c r="B709" s="10" t="s">
        <v>41</v>
      </c>
      <c r="C709" s="10" t="s">
        <v>42</v>
      </c>
      <c r="D709" s="10" t="s">
        <v>37</v>
      </c>
      <c r="E709" s="10" t="s">
        <v>43</v>
      </c>
      <c r="F709" s="10">
        <v>237.0</v>
      </c>
      <c r="G709" s="10" t="str">
        <f>IFERROR(VLOOKUP(C709&amp;D709&amp;E709&amp;F709,productID!$A$2:$B$7,2,FALSE))</f>
        <v/>
      </c>
      <c r="H709" s="10">
        <v>2022.0</v>
      </c>
      <c r="I709" s="10" t="s">
        <v>51</v>
      </c>
      <c r="J709" s="10">
        <v>2.963515513470063</v>
      </c>
      <c r="K709" s="11"/>
      <c r="L709" s="12"/>
      <c r="M709" s="9">
        <v>0.3309778401443381</v>
      </c>
    </row>
    <row r="710">
      <c r="A710" s="10" t="s">
        <v>24</v>
      </c>
      <c r="B710" s="10" t="s">
        <v>41</v>
      </c>
      <c r="C710" s="10" t="s">
        <v>42</v>
      </c>
      <c r="D710" s="10" t="s">
        <v>37</v>
      </c>
      <c r="E710" s="10" t="s">
        <v>43</v>
      </c>
      <c r="F710" s="10">
        <v>237.0</v>
      </c>
      <c r="G710" s="10" t="str">
        <f>IFERROR(VLOOKUP(C710&amp;D710&amp;E710&amp;F710,productID!$A$2:$B$7,2,FALSE))</f>
        <v/>
      </c>
      <c r="H710" s="10">
        <v>2022.0</v>
      </c>
      <c r="I710" s="10" t="s">
        <v>52</v>
      </c>
      <c r="J710" s="10">
        <v>3.4906811321057583</v>
      </c>
      <c r="K710" s="11"/>
      <c r="L710" s="12"/>
      <c r="M710" s="9">
        <v>0.37266011755029865</v>
      </c>
    </row>
    <row r="711">
      <c r="A711" s="10" t="s">
        <v>24</v>
      </c>
      <c r="B711" s="10" t="s">
        <v>41</v>
      </c>
      <c r="C711" s="10" t="s">
        <v>42</v>
      </c>
      <c r="D711" s="10" t="s">
        <v>37</v>
      </c>
      <c r="E711" s="10" t="s">
        <v>43</v>
      </c>
      <c r="F711" s="10">
        <v>237.0</v>
      </c>
      <c r="G711" s="10" t="str">
        <f>IFERROR(VLOOKUP(C711&amp;D711&amp;E711&amp;F711,productID!$A$2:$B$7,2,FALSE))</f>
        <v/>
      </c>
      <c r="H711" s="10">
        <v>2022.0</v>
      </c>
      <c r="I711" s="10" t="s">
        <v>53</v>
      </c>
      <c r="J711" s="10">
        <v>3.4283456970270465</v>
      </c>
      <c r="K711" s="11"/>
      <c r="L711" s="12"/>
      <c r="M711" s="9">
        <v>0.3562367149351081</v>
      </c>
    </row>
    <row r="712">
      <c r="A712" s="10" t="s">
        <v>24</v>
      </c>
      <c r="B712" s="10" t="s">
        <v>41</v>
      </c>
      <c r="C712" s="10" t="s">
        <v>42</v>
      </c>
      <c r="D712" s="10" t="s">
        <v>37</v>
      </c>
      <c r="E712" s="10" t="s">
        <v>43</v>
      </c>
      <c r="F712" s="10">
        <v>237.0</v>
      </c>
      <c r="G712" s="10" t="str">
        <f>IFERROR(VLOOKUP(C712&amp;D712&amp;E712&amp;F712,productID!$A$2:$B$7,2,FALSE))</f>
        <v/>
      </c>
      <c r="H712" s="10">
        <v>2022.0</v>
      </c>
      <c r="I712" s="10" t="s">
        <v>54</v>
      </c>
      <c r="J712" s="10">
        <v>3.393264372299242</v>
      </c>
      <c r="K712" s="11"/>
      <c r="L712" s="12"/>
      <c r="M712" s="9">
        <v>0.3642776911854965</v>
      </c>
    </row>
    <row r="713">
      <c r="A713" s="10" t="s">
        <v>24</v>
      </c>
      <c r="B713" s="10" t="s">
        <v>41</v>
      </c>
      <c r="C713" s="10" t="s">
        <v>42</v>
      </c>
      <c r="D713" s="10" t="s">
        <v>37</v>
      </c>
      <c r="E713" s="10" t="s">
        <v>43</v>
      </c>
      <c r="F713" s="10">
        <v>237.0</v>
      </c>
      <c r="G713" s="10" t="str">
        <f>IFERROR(VLOOKUP(C713&amp;D713&amp;E713&amp;F713,productID!$A$2:$B$7,2,FALSE))</f>
        <v/>
      </c>
      <c r="H713" s="10">
        <v>2023.0</v>
      </c>
      <c r="I713" s="10" t="s">
        <v>51</v>
      </c>
      <c r="J713" s="10">
        <v>3.600604081504368</v>
      </c>
      <c r="K713" s="11"/>
      <c r="L713" s="12"/>
      <c r="M713" s="9">
        <v>0.3765290704695357</v>
      </c>
    </row>
    <row r="714">
      <c r="A714" s="10" t="s">
        <v>24</v>
      </c>
      <c r="B714" s="10" t="s">
        <v>41</v>
      </c>
      <c r="C714" s="10" t="s">
        <v>42</v>
      </c>
      <c r="D714" s="10" t="s">
        <v>37</v>
      </c>
      <c r="E714" s="10" t="s">
        <v>43</v>
      </c>
      <c r="F714" s="10">
        <v>237.0</v>
      </c>
      <c r="G714" s="10" t="str">
        <f>IFERROR(VLOOKUP(C714&amp;D714&amp;E714&amp;F714,productID!$A$2:$B$7,2,FALSE))</f>
        <v/>
      </c>
      <c r="H714" s="10">
        <v>2023.0</v>
      </c>
      <c r="I714" s="10" t="s">
        <v>52</v>
      </c>
      <c r="J714" s="10">
        <v>6.6782306214366205</v>
      </c>
      <c r="K714" s="11"/>
      <c r="L714" s="12"/>
      <c r="M714" s="9">
        <v>0.6892124596494575</v>
      </c>
    </row>
    <row r="715">
      <c r="A715" s="10" t="s">
        <v>24</v>
      </c>
      <c r="B715" s="10" t="s">
        <v>41</v>
      </c>
      <c r="C715" s="10" t="s">
        <v>42</v>
      </c>
      <c r="D715" s="10" t="s">
        <v>37</v>
      </c>
      <c r="E715" s="10" t="s">
        <v>43</v>
      </c>
      <c r="F715" s="10">
        <v>237.0</v>
      </c>
      <c r="G715" s="10" t="str">
        <f>IFERROR(VLOOKUP(C715&amp;D715&amp;E715&amp;F715,productID!$A$2:$B$7,2,FALSE))</f>
        <v/>
      </c>
      <c r="H715" s="10">
        <v>2023.0</v>
      </c>
      <c r="I715" s="10" t="s">
        <v>53</v>
      </c>
      <c r="J715" s="10">
        <v>7.03824835617564</v>
      </c>
      <c r="K715" s="11"/>
      <c r="L715" s="12"/>
      <c r="M715" s="9">
        <v>0.7731331931245273</v>
      </c>
    </row>
    <row r="716">
      <c r="A716" s="10" t="s">
        <v>24</v>
      </c>
      <c r="B716" s="10" t="s">
        <v>41</v>
      </c>
      <c r="C716" s="10" t="s">
        <v>42</v>
      </c>
      <c r="D716" s="10" t="s">
        <v>37</v>
      </c>
      <c r="E716" s="10" t="s">
        <v>43</v>
      </c>
      <c r="F716" s="10">
        <v>237.0</v>
      </c>
      <c r="G716" s="10" t="str">
        <f>IFERROR(VLOOKUP(C716&amp;D716&amp;E716&amp;F716,productID!$A$2:$B$7,2,FALSE))</f>
        <v/>
      </c>
      <c r="H716" s="10">
        <v>2023.0</v>
      </c>
      <c r="I716" s="10" t="s">
        <v>54</v>
      </c>
      <c r="J716" s="10">
        <v>5.111140524553491</v>
      </c>
      <c r="K716" s="11"/>
      <c r="L716" s="12"/>
      <c r="M716" s="9">
        <v>0.6481712008510161</v>
      </c>
    </row>
    <row r="717">
      <c r="A717" s="10" t="s">
        <v>25</v>
      </c>
      <c r="B717" s="10" t="s">
        <v>41</v>
      </c>
      <c r="C717" s="10" t="s">
        <v>42</v>
      </c>
      <c r="D717" s="10" t="s">
        <v>37</v>
      </c>
      <c r="E717" s="10" t="s">
        <v>43</v>
      </c>
      <c r="F717" s="10">
        <v>237.0</v>
      </c>
      <c r="G717" s="10" t="str">
        <f>IFERROR(VLOOKUP(C717&amp;D717&amp;E717&amp;F717,productID!$A$2:$B$7,2,FALSE))</f>
        <v/>
      </c>
      <c r="H717" s="10">
        <v>2022.0</v>
      </c>
      <c r="I717" s="10" t="s">
        <v>51</v>
      </c>
      <c r="J717" s="10">
        <v>8.238651786702068</v>
      </c>
      <c r="K717" s="11"/>
      <c r="L717" s="12"/>
      <c r="M717" s="9">
        <v>0.8430504151985769</v>
      </c>
    </row>
    <row r="718">
      <c r="A718" s="10" t="s">
        <v>25</v>
      </c>
      <c r="B718" s="10" t="s">
        <v>41</v>
      </c>
      <c r="C718" s="10" t="s">
        <v>42</v>
      </c>
      <c r="D718" s="10" t="s">
        <v>37</v>
      </c>
      <c r="E718" s="10" t="s">
        <v>43</v>
      </c>
      <c r="F718" s="10">
        <v>237.0</v>
      </c>
      <c r="G718" s="10" t="str">
        <f>IFERROR(VLOOKUP(C718&amp;D718&amp;E718&amp;F718,productID!$A$2:$B$7,2,FALSE))</f>
        <v/>
      </c>
      <c r="H718" s="10">
        <v>2022.0</v>
      </c>
      <c r="I718" s="10" t="s">
        <v>52</v>
      </c>
      <c r="J718" s="10">
        <v>14.691450864814545</v>
      </c>
      <c r="K718" s="11"/>
      <c r="L718" s="12"/>
      <c r="M718" s="9">
        <v>1.4901128411485962</v>
      </c>
    </row>
    <row r="719">
      <c r="A719" s="10" t="s">
        <v>25</v>
      </c>
      <c r="B719" s="10" t="s">
        <v>41</v>
      </c>
      <c r="C719" s="10" t="s">
        <v>42</v>
      </c>
      <c r="D719" s="10" t="s">
        <v>37</v>
      </c>
      <c r="E719" s="10" t="s">
        <v>43</v>
      </c>
      <c r="F719" s="10">
        <v>237.0</v>
      </c>
      <c r="G719" s="10" t="str">
        <f>IFERROR(VLOOKUP(C719&amp;D719&amp;E719&amp;F719,productID!$A$2:$B$7,2,FALSE))</f>
        <v/>
      </c>
      <c r="H719" s="10">
        <v>2022.0</v>
      </c>
      <c r="I719" s="10" t="s">
        <v>53</v>
      </c>
      <c r="J719" s="10">
        <v>12.161633559247367</v>
      </c>
      <c r="K719" s="11"/>
      <c r="L719" s="12"/>
      <c r="M719" s="9">
        <v>1.1861778176511637</v>
      </c>
    </row>
    <row r="720">
      <c r="A720" s="10" t="s">
        <v>25</v>
      </c>
      <c r="B720" s="10" t="s">
        <v>41</v>
      </c>
      <c r="C720" s="10" t="s">
        <v>42</v>
      </c>
      <c r="D720" s="10" t="s">
        <v>37</v>
      </c>
      <c r="E720" s="10" t="s">
        <v>43</v>
      </c>
      <c r="F720" s="10">
        <v>237.0</v>
      </c>
      <c r="G720" s="10" t="str">
        <f>IFERROR(VLOOKUP(C720&amp;D720&amp;E720&amp;F720,productID!$A$2:$B$7,2,FALSE))</f>
        <v/>
      </c>
      <c r="H720" s="10">
        <v>2022.0</v>
      </c>
      <c r="I720" s="10" t="s">
        <v>54</v>
      </c>
      <c r="J720" s="10">
        <v>14.348102624030684</v>
      </c>
      <c r="K720" s="11"/>
      <c r="L720" s="12"/>
      <c r="M720" s="9">
        <v>1.380456812588912</v>
      </c>
    </row>
    <row r="721">
      <c r="A721" s="10" t="s">
        <v>25</v>
      </c>
      <c r="B721" s="10" t="s">
        <v>41</v>
      </c>
      <c r="C721" s="10" t="s">
        <v>42</v>
      </c>
      <c r="D721" s="10" t="s">
        <v>37</v>
      </c>
      <c r="E721" s="10" t="s">
        <v>43</v>
      </c>
      <c r="F721" s="10">
        <v>237.0</v>
      </c>
      <c r="G721" s="10" t="str">
        <f>IFERROR(VLOOKUP(C721&amp;D721&amp;E721&amp;F721,productID!$A$2:$B$7,2,FALSE))</f>
        <v/>
      </c>
      <c r="H721" s="10">
        <v>2023.0</v>
      </c>
      <c r="I721" s="10" t="s">
        <v>51</v>
      </c>
      <c r="J721" s="10">
        <v>13.911609691878</v>
      </c>
      <c r="K721" s="11"/>
      <c r="L721" s="12"/>
      <c r="M721" s="9">
        <v>1.2668334475479806</v>
      </c>
    </row>
    <row r="722">
      <c r="A722" s="10" t="s">
        <v>25</v>
      </c>
      <c r="B722" s="10" t="s">
        <v>41</v>
      </c>
      <c r="C722" s="10" t="s">
        <v>42</v>
      </c>
      <c r="D722" s="10" t="s">
        <v>37</v>
      </c>
      <c r="E722" s="10" t="s">
        <v>43</v>
      </c>
      <c r="F722" s="10">
        <v>237.0</v>
      </c>
      <c r="G722" s="10" t="str">
        <f>IFERROR(VLOOKUP(C722&amp;D722&amp;E722&amp;F722,productID!$A$2:$B$7,2,FALSE))</f>
        <v/>
      </c>
      <c r="H722" s="10">
        <v>2023.0</v>
      </c>
      <c r="I722" s="10" t="s">
        <v>52</v>
      </c>
      <c r="J722" s="10">
        <v>12.815717854523088</v>
      </c>
      <c r="K722" s="11"/>
      <c r="L722" s="12"/>
      <c r="M722" s="9">
        <v>1.1506704800021401</v>
      </c>
    </row>
    <row r="723">
      <c r="A723" s="10" t="s">
        <v>25</v>
      </c>
      <c r="B723" s="10" t="s">
        <v>41</v>
      </c>
      <c r="C723" s="10" t="s">
        <v>42</v>
      </c>
      <c r="D723" s="10" t="s">
        <v>37</v>
      </c>
      <c r="E723" s="10" t="s">
        <v>43</v>
      </c>
      <c r="F723" s="10">
        <v>237.0</v>
      </c>
      <c r="G723" s="10" t="str">
        <f>IFERROR(VLOOKUP(C723&amp;D723&amp;E723&amp;F723,productID!$A$2:$B$7,2,FALSE))</f>
        <v/>
      </c>
      <c r="H723" s="10">
        <v>2023.0</v>
      </c>
      <c r="I723" s="10" t="s">
        <v>53</v>
      </c>
      <c r="J723" s="10">
        <v>14.405741843320488</v>
      </c>
      <c r="K723" s="11"/>
      <c r="L723" s="12"/>
      <c r="M723" s="9">
        <v>1.3729534957038871</v>
      </c>
    </row>
    <row r="724">
      <c r="A724" s="10" t="s">
        <v>25</v>
      </c>
      <c r="B724" s="10" t="s">
        <v>41</v>
      </c>
      <c r="C724" s="10" t="s">
        <v>42</v>
      </c>
      <c r="D724" s="10" t="s">
        <v>37</v>
      </c>
      <c r="E724" s="10" t="s">
        <v>43</v>
      </c>
      <c r="F724" s="10">
        <v>237.0</v>
      </c>
      <c r="G724" s="10" t="str">
        <f>IFERROR(VLOOKUP(C724&amp;D724&amp;E724&amp;F724,productID!$A$2:$B$7,2,FALSE))</f>
        <v/>
      </c>
      <c r="H724" s="10">
        <v>2023.0</v>
      </c>
      <c r="I724" s="10" t="s">
        <v>54</v>
      </c>
      <c r="J724" s="10">
        <v>20.24592501784279</v>
      </c>
      <c r="K724" s="11"/>
      <c r="L724" s="12"/>
      <c r="M724" s="9">
        <v>2.0606446662029305</v>
      </c>
    </row>
    <row r="725">
      <c r="A725" s="10" t="s">
        <v>26</v>
      </c>
      <c r="B725" s="10" t="s">
        <v>41</v>
      </c>
      <c r="C725" s="10" t="s">
        <v>42</v>
      </c>
      <c r="D725" s="10" t="s">
        <v>37</v>
      </c>
      <c r="E725" s="10" t="s">
        <v>43</v>
      </c>
      <c r="F725" s="10">
        <v>237.0</v>
      </c>
      <c r="G725" s="10" t="str">
        <f>IFERROR(VLOOKUP(C725&amp;D725&amp;E725&amp;F725,productID!$A$2:$B$7,2,FALSE))</f>
        <v/>
      </c>
      <c r="H725" s="10">
        <v>2022.0</v>
      </c>
      <c r="I725" s="10" t="s">
        <v>51</v>
      </c>
      <c r="J725" s="10">
        <v>25.167307192498942</v>
      </c>
      <c r="K725" s="11"/>
      <c r="L725" s="12"/>
      <c r="M725" s="9">
        <v>1.2183374038661932</v>
      </c>
    </row>
    <row r="726">
      <c r="A726" s="10" t="s">
        <v>26</v>
      </c>
      <c r="B726" s="10" t="s">
        <v>41</v>
      </c>
      <c r="C726" s="10" t="s">
        <v>42</v>
      </c>
      <c r="D726" s="10" t="s">
        <v>37</v>
      </c>
      <c r="E726" s="10" t="s">
        <v>43</v>
      </c>
      <c r="F726" s="10">
        <v>237.0</v>
      </c>
      <c r="G726" s="10" t="str">
        <f>IFERROR(VLOOKUP(C726&amp;D726&amp;E726&amp;F726,productID!$A$2:$B$7,2,FALSE))</f>
        <v/>
      </c>
      <c r="H726" s="10">
        <v>2022.0</v>
      </c>
      <c r="I726" s="10" t="s">
        <v>52</v>
      </c>
      <c r="J726" s="10">
        <v>33.8434981752417</v>
      </c>
      <c r="K726" s="11"/>
      <c r="L726" s="12"/>
      <c r="M726" s="9">
        <v>1.6116163592137442</v>
      </c>
    </row>
    <row r="727">
      <c r="A727" s="10" t="s">
        <v>26</v>
      </c>
      <c r="B727" s="10" t="s">
        <v>41</v>
      </c>
      <c r="C727" s="10" t="s">
        <v>42</v>
      </c>
      <c r="D727" s="10" t="s">
        <v>37</v>
      </c>
      <c r="E727" s="10" t="s">
        <v>43</v>
      </c>
      <c r="F727" s="10">
        <v>237.0</v>
      </c>
      <c r="G727" s="10" t="str">
        <f>IFERROR(VLOOKUP(C727&amp;D727&amp;E727&amp;F727,productID!$A$2:$B$7,2,FALSE))</f>
        <v/>
      </c>
      <c r="H727" s="10">
        <v>2022.0</v>
      </c>
      <c r="I727" s="10" t="s">
        <v>53</v>
      </c>
      <c r="J727" s="10">
        <v>30.62254311317319</v>
      </c>
      <c r="K727" s="11"/>
      <c r="L727" s="12"/>
      <c r="M727" s="9">
        <v>1.4620548487547302</v>
      </c>
    </row>
    <row r="728">
      <c r="A728" s="10" t="s">
        <v>26</v>
      </c>
      <c r="B728" s="10" t="s">
        <v>41</v>
      </c>
      <c r="C728" s="10" t="s">
        <v>42</v>
      </c>
      <c r="D728" s="10" t="s">
        <v>37</v>
      </c>
      <c r="E728" s="10" t="s">
        <v>43</v>
      </c>
      <c r="F728" s="10">
        <v>237.0</v>
      </c>
      <c r="G728" s="10" t="str">
        <f>IFERROR(VLOOKUP(C728&amp;D728&amp;E728&amp;F728,productID!$A$2:$B$7,2,FALSE))</f>
        <v/>
      </c>
      <c r="H728" s="10">
        <v>2022.0</v>
      </c>
      <c r="I728" s="10" t="s">
        <v>54</v>
      </c>
      <c r="J728" s="10">
        <v>34.63421437450465</v>
      </c>
      <c r="K728" s="11"/>
      <c r="L728" s="12"/>
      <c r="M728" s="9">
        <v>1.6223446361695582</v>
      </c>
    </row>
    <row r="729">
      <c r="A729" s="10" t="s">
        <v>26</v>
      </c>
      <c r="B729" s="10" t="s">
        <v>41</v>
      </c>
      <c r="C729" s="10" t="s">
        <v>42</v>
      </c>
      <c r="D729" s="10" t="s">
        <v>37</v>
      </c>
      <c r="E729" s="10" t="s">
        <v>43</v>
      </c>
      <c r="F729" s="10">
        <v>237.0</v>
      </c>
      <c r="G729" s="10" t="str">
        <f>IFERROR(VLOOKUP(C729&amp;D729&amp;E729&amp;F729,productID!$A$2:$B$7,2,FALSE))</f>
        <v/>
      </c>
      <c r="H729" s="10">
        <v>2023.0</v>
      </c>
      <c r="I729" s="10" t="s">
        <v>51</v>
      </c>
      <c r="J729" s="10">
        <v>28.15953886447534</v>
      </c>
      <c r="K729" s="11"/>
      <c r="L729" s="12"/>
      <c r="M729" s="9">
        <v>1.306020550352699</v>
      </c>
    </row>
    <row r="730">
      <c r="A730" s="10" t="s">
        <v>26</v>
      </c>
      <c r="B730" s="10" t="s">
        <v>41</v>
      </c>
      <c r="C730" s="10" t="s">
        <v>42</v>
      </c>
      <c r="D730" s="10" t="s">
        <v>37</v>
      </c>
      <c r="E730" s="10" t="s">
        <v>43</v>
      </c>
      <c r="F730" s="10">
        <v>237.0</v>
      </c>
      <c r="G730" s="10" t="str">
        <f>IFERROR(VLOOKUP(C730&amp;D730&amp;E730&amp;F730,productID!$A$2:$B$7,2,FALSE))</f>
        <v/>
      </c>
      <c r="H730" s="10">
        <v>2023.0</v>
      </c>
      <c r="I730" s="10" t="s">
        <v>52</v>
      </c>
      <c r="J730" s="10">
        <v>32.21642620192875</v>
      </c>
      <c r="K730" s="11"/>
      <c r="L730" s="12"/>
      <c r="M730" s="9">
        <v>1.4457994879451024</v>
      </c>
    </row>
    <row r="731">
      <c r="A731" s="10" t="s">
        <v>26</v>
      </c>
      <c r="B731" s="10" t="s">
        <v>41</v>
      </c>
      <c r="C731" s="10" t="s">
        <v>42</v>
      </c>
      <c r="D731" s="10" t="s">
        <v>37</v>
      </c>
      <c r="E731" s="10" t="s">
        <v>43</v>
      </c>
      <c r="F731" s="10">
        <v>237.0</v>
      </c>
      <c r="G731" s="10" t="str">
        <f>IFERROR(VLOOKUP(C731&amp;D731&amp;E731&amp;F731,productID!$A$2:$B$7,2,FALSE))</f>
        <v/>
      </c>
      <c r="H731" s="10">
        <v>2023.0</v>
      </c>
      <c r="I731" s="10" t="s">
        <v>53</v>
      </c>
      <c r="J731" s="10">
        <v>39.25604591684949</v>
      </c>
      <c r="K731" s="11"/>
      <c r="L731" s="12"/>
      <c r="M731" s="9">
        <v>1.8013309812685612</v>
      </c>
    </row>
    <row r="732">
      <c r="A732" s="10" t="s">
        <v>26</v>
      </c>
      <c r="B732" s="10" t="s">
        <v>41</v>
      </c>
      <c r="C732" s="10" t="s">
        <v>42</v>
      </c>
      <c r="D732" s="10" t="s">
        <v>37</v>
      </c>
      <c r="E732" s="10" t="s">
        <v>43</v>
      </c>
      <c r="F732" s="10">
        <v>237.0</v>
      </c>
      <c r="G732" s="10" t="str">
        <f>IFERROR(VLOOKUP(C732&amp;D732&amp;E732&amp;F732,productID!$A$2:$B$7,2,FALSE))</f>
        <v/>
      </c>
      <c r="H732" s="10">
        <v>2023.0</v>
      </c>
      <c r="I732" s="10" t="s">
        <v>54</v>
      </c>
      <c r="J732" s="10">
        <v>38.128118200703845</v>
      </c>
      <c r="K732" s="11"/>
      <c r="L732" s="12"/>
      <c r="M732" s="9">
        <v>1.813224785813899</v>
      </c>
    </row>
    <row r="733">
      <c r="A733" s="10" t="s">
        <v>10</v>
      </c>
      <c r="B733" s="10" t="s">
        <v>41</v>
      </c>
      <c r="C733" s="10" t="s">
        <v>44</v>
      </c>
      <c r="D733" s="10" t="s">
        <v>34</v>
      </c>
      <c r="E733" s="10" t="s">
        <v>43</v>
      </c>
      <c r="F733" s="10">
        <v>237.0</v>
      </c>
      <c r="G733" s="10" t="str">
        <f>IFERROR(VLOOKUP(C733&amp;D733&amp;E733&amp;F733,productID!$A$2:$B$7,2,FALSE))</f>
        <v/>
      </c>
      <c r="H733" s="10">
        <v>2022.0</v>
      </c>
      <c r="I733" s="10" t="s">
        <v>51</v>
      </c>
      <c r="J733" s="10">
        <v>24.972226216561154</v>
      </c>
      <c r="K733" s="11"/>
      <c r="L733" s="12"/>
      <c r="M733" s="9">
        <v>2.1885164155552115</v>
      </c>
    </row>
    <row r="734">
      <c r="A734" s="10" t="s">
        <v>10</v>
      </c>
      <c r="B734" s="10" t="s">
        <v>41</v>
      </c>
      <c r="C734" s="10" t="s">
        <v>44</v>
      </c>
      <c r="D734" s="10" t="s">
        <v>34</v>
      </c>
      <c r="E734" s="10" t="s">
        <v>43</v>
      </c>
      <c r="F734" s="10">
        <v>237.0</v>
      </c>
      <c r="G734" s="10" t="str">
        <f>IFERROR(VLOOKUP(C734&amp;D734&amp;E734&amp;F734,productID!$A$2:$B$7,2,FALSE))</f>
        <v/>
      </c>
      <c r="H734" s="10">
        <v>2022.0</v>
      </c>
      <c r="I734" s="10" t="s">
        <v>52</v>
      </c>
      <c r="J734" s="10">
        <v>27.956911349984892</v>
      </c>
      <c r="K734" s="11"/>
      <c r="L734" s="12"/>
      <c r="M734" s="9">
        <v>2.439966791936441</v>
      </c>
    </row>
    <row r="735">
      <c r="A735" s="10" t="s">
        <v>10</v>
      </c>
      <c r="B735" s="10" t="s">
        <v>41</v>
      </c>
      <c r="C735" s="10" t="s">
        <v>44</v>
      </c>
      <c r="D735" s="10" t="s">
        <v>34</v>
      </c>
      <c r="E735" s="10" t="s">
        <v>43</v>
      </c>
      <c r="F735" s="10">
        <v>237.0</v>
      </c>
      <c r="G735" s="10" t="str">
        <f>IFERROR(VLOOKUP(C735&amp;D735&amp;E735&amp;F735,productID!$A$2:$B$7,2,FALSE))</f>
        <v/>
      </c>
      <c r="H735" s="10">
        <v>2022.0</v>
      </c>
      <c r="I735" s="10" t="s">
        <v>53</v>
      </c>
      <c r="J735" s="10">
        <v>34.771722307913905</v>
      </c>
      <c r="K735" s="11"/>
      <c r="L735" s="12"/>
      <c r="M735" s="9">
        <v>3.039444194852805</v>
      </c>
    </row>
    <row r="736">
      <c r="A736" s="10" t="s">
        <v>10</v>
      </c>
      <c r="B736" s="10" t="s">
        <v>41</v>
      </c>
      <c r="C736" s="10" t="s">
        <v>44</v>
      </c>
      <c r="D736" s="10" t="s">
        <v>34</v>
      </c>
      <c r="E736" s="10" t="s">
        <v>43</v>
      </c>
      <c r="F736" s="10">
        <v>237.0</v>
      </c>
      <c r="G736" s="10" t="str">
        <f>IFERROR(VLOOKUP(C736&amp;D736&amp;E736&amp;F736,productID!$A$2:$B$7,2,FALSE))</f>
        <v/>
      </c>
      <c r="H736" s="10">
        <v>2022.0</v>
      </c>
      <c r="I736" s="10" t="s">
        <v>54</v>
      </c>
      <c r="J736" s="10">
        <v>35.86158799318318</v>
      </c>
      <c r="K736" s="11"/>
      <c r="L736" s="12"/>
      <c r="M736" s="9">
        <v>3.2475716936203636</v>
      </c>
    </row>
    <row r="737">
      <c r="A737" s="10" t="s">
        <v>10</v>
      </c>
      <c r="B737" s="10" t="s">
        <v>41</v>
      </c>
      <c r="C737" s="10" t="s">
        <v>44</v>
      </c>
      <c r="D737" s="10" t="s">
        <v>34</v>
      </c>
      <c r="E737" s="10" t="s">
        <v>43</v>
      </c>
      <c r="F737" s="10">
        <v>237.0</v>
      </c>
      <c r="G737" s="10" t="str">
        <f>IFERROR(VLOOKUP(C737&amp;D737&amp;E737&amp;F737,productID!$A$2:$B$7,2,FALSE))</f>
        <v/>
      </c>
      <c r="H737" s="10">
        <v>2023.0</v>
      </c>
      <c r="I737" s="10" t="s">
        <v>51</v>
      </c>
      <c r="J737" s="10">
        <v>40.27514181614339</v>
      </c>
      <c r="K737" s="11"/>
      <c r="L737" s="12"/>
      <c r="M737" s="9">
        <v>3.4150241066240774</v>
      </c>
    </row>
    <row r="738">
      <c r="A738" s="10" t="s">
        <v>10</v>
      </c>
      <c r="B738" s="10" t="s">
        <v>41</v>
      </c>
      <c r="C738" s="10" t="s">
        <v>44</v>
      </c>
      <c r="D738" s="10" t="s">
        <v>34</v>
      </c>
      <c r="E738" s="10" t="s">
        <v>43</v>
      </c>
      <c r="F738" s="10">
        <v>237.0</v>
      </c>
      <c r="G738" s="10" t="str">
        <f>IFERROR(VLOOKUP(C738&amp;D738&amp;E738&amp;F738,productID!$A$2:$B$7,2,FALSE))</f>
        <v/>
      </c>
      <c r="H738" s="10">
        <v>2023.0</v>
      </c>
      <c r="I738" s="10" t="s">
        <v>52</v>
      </c>
      <c r="J738" s="10">
        <v>44.03519736208776</v>
      </c>
      <c r="K738" s="11"/>
      <c r="L738" s="12"/>
      <c r="M738" s="9">
        <v>3.480013364149227</v>
      </c>
    </row>
    <row r="739">
      <c r="A739" s="10" t="s">
        <v>10</v>
      </c>
      <c r="B739" s="10" t="s">
        <v>41</v>
      </c>
      <c r="C739" s="10" t="s">
        <v>44</v>
      </c>
      <c r="D739" s="10" t="s">
        <v>34</v>
      </c>
      <c r="E739" s="10" t="s">
        <v>43</v>
      </c>
      <c r="F739" s="10">
        <v>237.0</v>
      </c>
      <c r="G739" s="10" t="str">
        <f>IFERROR(VLOOKUP(C739&amp;D739&amp;E739&amp;F739,productID!$A$2:$B$7,2,FALSE))</f>
        <v/>
      </c>
      <c r="H739" s="10">
        <v>2023.0</v>
      </c>
      <c r="I739" s="10" t="s">
        <v>53</v>
      </c>
      <c r="J739" s="10">
        <v>49.35914504514068</v>
      </c>
      <c r="K739" s="11"/>
      <c r="L739" s="12"/>
      <c r="M739" s="9">
        <v>3.9982913212104627</v>
      </c>
    </row>
    <row r="740">
      <c r="A740" s="10" t="s">
        <v>10</v>
      </c>
      <c r="B740" s="10" t="s">
        <v>41</v>
      </c>
      <c r="C740" s="10" t="s">
        <v>44</v>
      </c>
      <c r="D740" s="10" t="s">
        <v>34</v>
      </c>
      <c r="E740" s="10" t="s">
        <v>43</v>
      </c>
      <c r="F740" s="10">
        <v>237.0</v>
      </c>
      <c r="G740" s="10" t="str">
        <f>IFERROR(VLOOKUP(C740&amp;D740&amp;E740&amp;F740,productID!$A$2:$B$7,2,FALSE))</f>
        <v/>
      </c>
      <c r="H740" s="10">
        <v>2023.0</v>
      </c>
      <c r="I740" s="10" t="s">
        <v>54</v>
      </c>
      <c r="J740" s="10">
        <v>43.16073194654621</v>
      </c>
      <c r="K740" s="11"/>
      <c r="L740" s="12"/>
      <c r="M740" s="9">
        <v>3.7137940907313065</v>
      </c>
    </row>
    <row r="741">
      <c r="A741" s="10" t="s">
        <v>24</v>
      </c>
      <c r="B741" s="10" t="s">
        <v>41</v>
      </c>
      <c r="C741" s="10" t="s">
        <v>44</v>
      </c>
      <c r="D741" s="10" t="s">
        <v>34</v>
      </c>
      <c r="E741" s="10" t="s">
        <v>43</v>
      </c>
      <c r="F741" s="10">
        <v>237.0</v>
      </c>
      <c r="G741" s="10" t="str">
        <f>IFERROR(VLOOKUP(C741&amp;D741&amp;E741&amp;F741,productID!$A$2:$B$7,2,FALSE))</f>
        <v/>
      </c>
      <c r="H741" s="10">
        <v>2022.0</v>
      </c>
      <c r="I741" s="10" t="s">
        <v>51</v>
      </c>
      <c r="J741" s="10">
        <v>6.883772306529935</v>
      </c>
      <c r="K741" s="11"/>
      <c r="L741" s="12"/>
      <c r="M741" s="9">
        <v>0.7688085585193623</v>
      </c>
    </row>
    <row r="742">
      <c r="A742" s="10" t="s">
        <v>24</v>
      </c>
      <c r="B742" s="10" t="s">
        <v>41</v>
      </c>
      <c r="C742" s="10" t="s">
        <v>44</v>
      </c>
      <c r="D742" s="10" t="s">
        <v>34</v>
      </c>
      <c r="E742" s="10" t="s">
        <v>43</v>
      </c>
      <c r="F742" s="10">
        <v>237.0</v>
      </c>
      <c r="G742" s="10" t="str">
        <f>IFERROR(VLOOKUP(C742&amp;D742&amp;E742&amp;F742,productID!$A$2:$B$7,2,FALSE))</f>
        <v/>
      </c>
      <c r="H742" s="10">
        <v>2022.0</v>
      </c>
      <c r="I742" s="10" t="s">
        <v>52</v>
      </c>
      <c r="J742" s="10">
        <v>10.00421956789424</v>
      </c>
      <c r="K742" s="11"/>
      <c r="L742" s="12"/>
      <c r="M742" s="9">
        <v>1.0680361508475682</v>
      </c>
    </row>
    <row r="743">
      <c r="A743" s="10" t="s">
        <v>24</v>
      </c>
      <c r="B743" s="10" t="s">
        <v>41</v>
      </c>
      <c r="C743" s="10" t="s">
        <v>44</v>
      </c>
      <c r="D743" s="10" t="s">
        <v>34</v>
      </c>
      <c r="E743" s="10" t="s">
        <v>43</v>
      </c>
      <c r="F743" s="10">
        <v>237.0</v>
      </c>
      <c r="G743" s="10" t="str">
        <f>IFERROR(VLOOKUP(C743&amp;D743&amp;E743&amp;F743,productID!$A$2:$B$7,2,FALSE))</f>
        <v/>
      </c>
      <c r="H743" s="10">
        <v>2022.0</v>
      </c>
      <c r="I743" s="10" t="s">
        <v>53</v>
      </c>
      <c r="J743" s="10">
        <v>10.79975437297295</v>
      </c>
      <c r="K743" s="11"/>
      <c r="L743" s="12"/>
      <c r="M743" s="9">
        <v>1.1221940142355489</v>
      </c>
    </row>
    <row r="744">
      <c r="A744" s="10" t="s">
        <v>24</v>
      </c>
      <c r="B744" s="10" t="s">
        <v>41</v>
      </c>
      <c r="C744" s="10" t="s">
        <v>44</v>
      </c>
      <c r="D744" s="10" t="s">
        <v>34</v>
      </c>
      <c r="E744" s="10" t="s">
        <v>43</v>
      </c>
      <c r="F744" s="10">
        <v>237.0</v>
      </c>
      <c r="G744" s="10" t="str">
        <f>IFERROR(VLOOKUP(C744&amp;D744&amp;E744&amp;F744,productID!$A$2:$B$7,2,FALSE))</f>
        <v/>
      </c>
      <c r="H744" s="10">
        <v>2022.0</v>
      </c>
      <c r="I744" s="10" t="s">
        <v>54</v>
      </c>
      <c r="J744" s="10">
        <v>10.554482697700758</v>
      </c>
      <c r="K744" s="11"/>
      <c r="L744" s="12"/>
      <c r="M744" s="9">
        <v>1.1330571882822469</v>
      </c>
    </row>
    <row r="745">
      <c r="A745" s="10" t="s">
        <v>24</v>
      </c>
      <c r="B745" s="10" t="s">
        <v>41</v>
      </c>
      <c r="C745" s="10" t="s">
        <v>44</v>
      </c>
      <c r="D745" s="10" t="s">
        <v>34</v>
      </c>
      <c r="E745" s="10" t="s">
        <v>43</v>
      </c>
      <c r="F745" s="10">
        <v>237.0</v>
      </c>
      <c r="G745" s="10" t="str">
        <f>IFERROR(VLOOKUP(C745&amp;D745&amp;E745&amp;F745,productID!$A$2:$B$7,2,FALSE))</f>
        <v/>
      </c>
      <c r="H745" s="10">
        <v>2023.0</v>
      </c>
      <c r="I745" s="10" t="s">
        <v>51</v>
      </c>
      <c r="J745" s="10">
        <v>11.566910188495632</v>
      </c>
      <c r="K745" s="11"/>
      <c r="L745" s="12"/>
      <c r="M745" s="9">
        <v>1.2095964573975553</v>
      </c>
    </row>
    <row r="746">
      <c r="A746" s="10" t="s">
        <v>24</v>
      </c>
      <c r="B746" s="10" t="s">
        <v>41</v>
      </c>
      <c r="C746" s="10" t="s">
        <v>44</v>
      </c>
      <c r="D746" s="10" t="s">
        <v>34</v>
      </c>
      <c r="E746" s="10" t="s">
        <v>43</v>
      </c>
      <c r="F746" s="10">
        <v>237.0</v>
      </c>
      <c r="G746" s="10" t="str">
        <f>IFERROR(VLOOKUP(C746&amp;D746&amp;E746&amp;F746,productID!$A$2:$B$7,2,FALSE))</f>
        <v/>
      </c>
      <c r="H746" s="10">
        <v>2023.0</v>
      </c>
      <c r="I746" s="10" t="s">
        <v>52</v>
      </c>
      <c r="J746" s="10">
        <v>12.990092858563376</v>
      </c>
      <c r="K746" s="11"/>
      <c r="L746" s="12"/>
      <c r="M746" s="9">
        <v>1.3406146564311616</v>
      </c>
    </row>
    <row r="747">
      <c r="A747" s="10" t="s">
        <v>24</v>
      </c>
      <c r="B747" s="10" t="s">
        <v>41</v>
      </c>
      <c r="C747" s="10" t="s">
        <v>44</v>
      </c>
      <c r="D747" s="10" t="s">
        <v>34</v>
      </c>
      <c r="E747" s="10" t="s">
        <v>43</v>
      </c>
      <c r="F747" s="10">
        <v>237.0</v>
      </c>
      <c r="G747" s="10" t="str">
        <f>IFERROR(VLOOKUP(C747&amp;D747&amp;E747&amp;F747,productID!$A$2:$B$7,2,FALSE))</f>
        <v/>
      </c>
      <c r="H747" s="10">
        <v>2023.0</v>
      </c>
      <c r="I747" s="10" t="s">
        <v>53</v>
      </c>
      <c r="J747" s="10">
        <v>14.39753411382436</v>
      </c>
      <c r="K747" s="11"/>
      <c r="L747" s="12"/>
      <c r="M747" s="9">
        <v>1.5815315060278272</v>
      </c>
    </row>
    <row r="748">
      <c r="A748" s="10" t="s">
        <v>24</v>
      </c>
      <c r="B748" s="10" t="s">
        <v>41</v>
      </c>
      <c r="C748" s="10" t="s">
        <v>44</v>
      </c>
      <c r="D748" s="10" t="s">
        <v>34</v>
      </c>
      <c r="E748" s="10" t="s">
        <v>43</v>
      </c>
      <c r="F748" s="10">
        <v>237.0</v>
      </c>
      <c r="G748" s="10" t="str">
        <f>IFERROR(VLOOKUP(C748&amp;D748&amp;E748&amp;F748,productID!$A$2:$B$7,2,FALSE))</f>
        <v/>
      </c>
      <c r="H748" s="10">
        <v>2023.0</v>
      </c>
      <c r="I748" s="10" t="s">
        <v>54</v>
      </c>
      <c r="J748" s="10">
        <v>11.56589780544651</v>
      </c>
      <c r="K748" s="11"/>
      <c r="L748" s="12"/>
      <c r="M748" s="9">
        <v>1.4667336641328805</v>
      </c>
    </row>
    <row r="749">
      <c r="A749" s="10" t="s">
        <v>25</v>
      </c>
      <c r="B749" s="10" t="s">
        <v>41</v>
      </c>
      <c r="C749" s="10" t="s">
        <v>44</v>
      </c>
      <c r="D749" s="10" t="s">
        <v>34</v>
      </c>
      <c r="E749" s="10" t="s">
        <v>43</v>
      </c>
      <c r="F749" s="10">
        <v>237.0</v>
      </c>
      <c r="G749" s="10" t="str">
        <f>IFERROR(VLOOKUP(C749&amp;D749&amp;E749&amp;F749,productID!$A$2:$B$7,2,FALSE))</f>
        <v/>
      </c>
      <c r="H749" s="10">
        <v>2022.0</v>
      </c>
      <c r="I749" s="10" t="s">
        <v>51</v>
      </c>
      <c r="J749" s="10">
        <v>22.850998663297926</v>
      </c>
      <c r="K749" s="11"/>
      <c r="L749" s="12"/>
      <c r="M749" s="9">
        <v>2.3383126765826137</v>
      </c>
    </row>
    <row r="750">
      <c r="A750" s="10" t="s">
        <v>25</v>
      </c>
      <c r="B750" s="10" t="s">
        <v>41</v>
      </c>
      <c r="C750" s="10" t="s">
        <v>44</v>
      </c>
      <c r="D750" s="10" t="s">
        <v>34</v>
      </c>
      <c r="E750" s="10" t="s">
        <v>43</v>
      </c>
      <c r="F750" s="10">
        <v>237.0</v>
      </c>
      <c r="G750" s="10" t="str">
        <f>IFERROR(VLOOKUP(C750&amp;D750&amp;E750&amp;F750,productID!$A$2:$B$7,2,FALSE))</f>
        <v/>
      </c>
      <c r="H750" s="10">
        <v>2022.0</v>
      </c>
      <c r="I750" s="10" t="s">
        <v>52</v>
      </c>
      <c r="J750" s="10">
        <v>23.17255297518545</v>
      </c>
      <c r="K750" s="11"/>
      <c r="L750" s="12"/>
      <c r="M750" s="9">
        <v>2.3503273480781455</v>
      </c>
    </row>
    <row r="751">
      <c r="A751" s="10" t="s">
        <v>25</v>
      </c>
      <c r="B751" s="10" t="s">
        <v>41</v>
      </c>
      <c r="C751" s="10" t="s">
        <v>44</v>
      </c>
      <c r="D751" s="10" t="s">
        <v>34</v>
      </c>
      <c r="E751" s="10" t="s">
        <v>43</v>
      </c>
      <c r="F751" s="10">
        <v>237.0</v>
      </c>
      <c r="G751" s="10" t="str">
        <f>IFERROR(VLOOKUP(C751&amp;D751&amp;E751&amp;F751,productID!$A$2:$B$7,2,FALSE))</f>
        <v/>
      </c>
      <c r="H751" s="10">
        <v>2022.0</v>
      </c>
      <c r="I751" s="10" t="s">
        <v>53</v>
      </c>
      <c r="J751" s="10">
        <v>28.67958128075263</v>
      </c>
      <c r="K751" s="11"/>
      <c r="L751" s="12"/>
      <c r="M751" s="9">
        <v>2.797246189750978</v>
      </c>
    </row>
    <row r="752">
      <c r="A752" s="10" t="s">
        <v>25</v>
      </c>
      <c r="B752" s="10" t="s">
        <v>41</v>
      </c>
      <c r="C752" s="10" t="s">
        <v>44</v>
      </c>
      <c r="D752" s="10" t="s">
        <v>34</v>
      </c>
      <c r="E752" s="10" t="s">
        <v>43</v>
      </c>
      <c r="F752" s="10">
        <v>237.0</v>
      </c>
      <c r="G752" s="10" t="str">
        <f>IFERROR(VLOOKUP(C752&amp;D752&amp;E752&amp;F752,productID!$A$2:$B$7,2,FALSE))</f>
        <v/>
      </c>
      <c r="H752" s="10">
        <v>2022.0</v>
      </c>
      <c r="I752" s="10" t="s">
        <v>54</v>
      </c>
      <c r="J752" s="10">
        <v>30.646795595969305</v>
      </c>
      <c r="K752" s="11"/>
      <c r="L752" s="12"/>
      <c r="M752" s="9">
        <v>2.948583438037251</v>
      </c>
    </row>
    <row r="753">
      <c r="A753" s="10" t="s">
        <v>25</v>
      </c>
      <c r="B753" s="10" t="s">
        <v>41</v>
      </c>
      <c r="C753" s="10" t="s">
        <v>44</v>
      </c>
      <c r="D753" s="10" t="s">
        <v>34</v>
      </c>
      <c r="E753" s="10" t="s">
        <v>43</v>
      </c>
      <c r="F753" s="10">
        <v>237.0</v>
      </c>
      <c r="G753" s="10" t="str">
        <f>IFERROR(VLOOKUP(C753&amp;D753&amp;E753&amp;F753,productID!$A$2:$B$7,2,FALSE))</f>
        <v/>
      </c>
      <c r="H753" s="10">
        <v>2023.0</v>
      </c>
      <c r="I753" s="10" t="s">
        <v>51</v>
      </c>
      <c r="J753" s="10">
        <v>34.201260238121996</v>
      </c>
      <c r="K753" s="11"/>
      <c r="L753" s="12"/>
      <c r="M753" s="9">
        <v>3.1144706743204194</v>
      </c>
    </row>
    <row r="754">
      <c r="A754" s="10" t="s">
        <v>25</v>
      </c>
      <c r="B754" s="10" t="s">
        <v>41</v>
      </c>
      <c r="C754" s="10" t="s">
        <v>44</v>
      </c>
      <c r="D754" s="10" t="s">
        <v>34</v>
      </c>
      <c r="E754" s="10" t="s">
        <v>43</v>
      </c>
      <c r="F754" s="10">
        <v>237.0</v>
      </c>
      <c r="G754" s="10" t="str">
        <f>IFERROR(VLOOKUP(C754&amp;D754&amp;E754&amp;F754,productID!$A$2:$B$7,2,FALSE))</f>
        <v/>
      </c>
      <c r="H754" s="10">
        <v>2023.0</v>
      </c>
      <c r="I754" s="10" t="s">
        <v>52</v>
      </c>
      <c r="J754" s="10">
        <v>37.26725170547691</v>
      </c>
      <c r="K754" s="11"/>
      <c r="L754" s="12"/>
      <c r="M754" s="9">
        <v>3.346072915702268</v>
      </c>
    </row>
    <row r="755">
      <c r="A755" s="10" t="s">
        <v>25</v>
      </c>
      <c r="B755" s="10" t="s">
        <v>41</v>
      </c>
      <c r="C755" s="10" t="s">
        <v>44</v>
      </c>
      <c r="D755" s="10" t="s">
        <v>34</v>
      </c>
      <c r="E755" s="10" t="s">
        <v>43</v>
      </c>
      <c r="F755" s="10">
        <v>237.0</v>
      </c>
      <c r="G755" s="10" t="str">
        <f>IFERROR(VLOOKUP(C755&amp;D755&amp;E755&amp;F755,productID!$A$2:$B$7,2,FALSE))</f>
        <v/>
      </c>
      <c r="H755" s="10">
        <v>2023.0</v>
      </c>
      <c r="I755" s="10" t="s">
        <v>53</v>
      </c>
      <c r="J755" s="10">
        <v>34.82132729667951</v>
      </c>
      <c r="K755" s="11"/>
      <c r="L755" s="12"/>
      <c r="M755" s="9">
        <v>3.3186810895957084</v>
      </c>
    </row>
    <row r="756">
      <c r="A756" s="10" t="s">
        <v>25</v>
      </c>
      <c r="B756" s="10" t="s">
        <v>41</v>
      </c>
      <c r="C756" s="10" t="s">
        <v>44</v>
      </c>
      <c r="D756" s="10" t="s">
        <v>34</v>
      </c>
      <c r="E756" s="10" t="s">
        <v>43</v>
      </c>
      <c r="F756" s="10">
        <v>237.0</v>
      </c>
      <c r="G756" s="10" t="str">
        <f>IFERROR(VLOOKUP(C756&amp;D756&amp;E756&amp;F756,productID!$A$2:$B$7,2,FALSE))</f>
        <v/>
      </c>
      <c r="H756" s="10">
        <v>2023.0</v>
      </c>
      <c r="I756" s="10" t="s">
        <v>54</v>
      </c>
      <c r="J756" s="10">
        <v>38.12040897215721</v>
      </c>
      <c r="K756" s="11"/>
      <c r="L756" s="12"/>
      <c r="M756" s="9">
        <v>3.8799223721673104</v>
      </c>
    </row>
    <row r="757">
      <c r="A757" s="10" t="s">
        <v>26</v>
      </c>
      <c r="B757" s="10" t="s">
        <v>41</v>
      </c>
      <c r="C757" s="10" t="s">
        <v>44</v>
      </c>
      <c r="D757" s="10" t="s">
        <v>34</v>
      </c>
      <c r="E757" s="10" t="s">
        <v>43</v>
      </c>
      <c r="F757" s="10">
        <v>237.0</v>
      </c>
      <c r="G757" s="10" t="str">
        <f>IFERROR(VLOOKUP(C757&amp;D757&amp;E757&amp;F757,productID!$A$2:$B$7,2,FALSE))</f>
        <v/>
      </c>
      <c r="H757" s="10">
        <v>2022.0</v>
      </c>
      <c r="I757" s="10" t="s">
        <v>51</v>
      </c>
      <c r="J757" s="10">
        <v>122.30350100750105</v>
      </c>
      <c r="K757" s="11"/>
      <c r="L757" s="12"/>
      <c r="M757" s="9">
        <v>5.920654472944023</v>
      </c>
    </row>
    <row r="758">
      <c r="A758" s="10" t="s">
        <v>26</v>
      </c>
      <c r="B758" s="10" t="s">
        <v>41</v>
      </c>
      <c r="C758" s="10" t="s">
        <v>44</v>
      </c>
      <c r="D758" s="10" t="s">
        <v>34</v>
      </c>
      <c r="E758" s="10" t="s">
        <v>43</v>
      </c>
      <c r="F758" s="10">
        <v>237.0</v>
      </c>
      <c r="G758" s="10" t="str">
        <f>IFERROR(VLOOKUP(C758&amp;D758&amp;E758&amp;F758,productID!$A$2:$B$7,2,FALSE))</f>
        <v/>
      </c>
      <c r="H758" s="10">
        <v>2022.0</v>
      </c>
      <c r="I758" s="10" t="s">
        <v>52</v>
      </c>
      <c r="J758" s="10">
        <v>123.3557094147583</v>
      </c>
      <c r="K758" s="11"/>
      <c r="L758" s="12"/>
      <c r="M758" s="9">
        <v>5.874158701498404</v>
      </c>
    </row>
    <row r="759">
      <c r="A759" s="10" t="s">
        <v>26</v>
      </c>
      <c r="B759" s="10" t="s">
        <v>41</v>
      </c>
      <c r="C759" s="10" t="s">
        <v>44</v>
      </c>
      <c r="D759" s="10" t="s">
        <v>34</v>
      </c>
      <c r="E759" s="10" t="s">
        <v>43</v>
      </c>
      <c r="F759" s="10">
        <v>237.0</v>
      </c>
      <c r="G759" s="10" t="str">
        <f>IFERROR(VLOOKUP(C759&amp;D759&amp;E759&amp;F759,productID!$A$2:$B$7,2,FALSE))</f>
        <v/>
      </c>
      <c r="H759" s="10">
        <v>2022.0</v>
      </c>
      <c r="I759" s="10" t="s">
        <v>53</v>
      </c>
      <c r="J759" s="10">
        <v>136.31676840682678</v>
      </c>
      <c r="K759" s="11"/>
      <c r="L759" s="12"/>
      <c r="M759" s="9">
        <v>6.508361878345788</v>
      </c>
    </row>
    <row r="760">
      <c r="A760" s="10" t="s">
        <v>26</v>
      </c>
      <c r="B760" s="10" t="s">
        <v>41</v>
      </c>
      <c r="C760" s="10" t="s">
        <v>44</v>
      </c>
      <c r="D760" s="10" t="s">
        <v>34</v>
      </c>
      <c r="E760" s="10" t="s">
        <v>43</v>
      </c>
      <c r="F760" s="10">
        <v>237.0</v>
      </c>
      <c r="G760" s="10" t="str">
        <f>IFERROR(VLOOKUP(C760&amp;D760&amp;E760&amp;F760,productID!$A$2:$B$7,2,FALSE))</f>
        <v/>
      </c>
      <c r="H760" s="10">
        <v>2022.0</v>
      </c>
      <c r="I760" s="10" t="s">
        <v>54</v>
      </c>
      <c r="J760" s="10">
        <v>143.63060576549532</v>
      </c>
      <c r="K760" s="11"/>
      <c r="L760" s="12"/>
      <c r="M760" s="9">
        <v>6.727981190327446</v>
      </c>
    </row>
    <row r="761">
      <c r="A761" s="10" t="s">
        <v>26</v>
      </c>
      <c r="B761" s="10" t="s">
        <v>41</v>
      </c>
      <c r="C761" s="10" t="s">
        <v>44</v>
      </c>
      <c r="D761" s="10" t="s">
        <v>34</v>
      </c>
      <c r="E761" s="10" t="s">
        <v>43</v>
      </c>
      <c r="F761" s="10">
        <v>237.0</v>
      </c>
      <c r="G761" s="10" t="str">
        <f>IFERROR(VLOOKUP(C761&amp;D761&amp;E761&amp;F761,productID!$A$2:$B$7,2,FALSE))</f>
        <v/>
      </c>
      <c r="H761" s="10">
        <v>2023.0</v>
      </c>
      <c r="I761" s="10" t="s">
        <v>51</v>
      </c>
      <c r="J761" s="10">
        <v>129.08488680552466</v>
      </c>
      <c r="K761" s="11"/>
      <c r="L761" s="12"/>
      <c r="M761" s="9">
        <v>5.9868705847540955</v>
      </c>
    </row>
    <row r="762">
      <c r="A762" s="10" t="s">
        <v>26</v>
      </c>
      <c r="B762" s="10" t="s">
        <v>41</v>
      </c>
      <c r="C762" s="10" t="s">
        <v>44</v>
      </c>
      <c r="D762" s="10" t="s">
        <v>34</v>
      </c>
      <c r="E762" s="10" t="s">
        <v>43</v>
      </c>
      <c r="F762" s="10">
        <v>237.0</v>
      </c>
      <c r="G762" s="10" t="str">
        <f>IFERROR(VLOOKUP(C762&amp;D762&amp;E762&amp;F762,productID!$A$2:$B$7,2,FALSE))</f>
        <v/>
      </c>
      <c r="H762" s="10">
        <v>2023.0</v>
      </c>
      <c r="I762" s="10" t="s">
        <v>52</v>
      </c>
      <c r="J762" s="10">
        <v>163.78529429807125</v>
      </c>
      <c r="K762" s="11"/>
      <c r="L762" s="12"/>
      <c r="M762" s="9">
        <v>7.3503092225329585</v>
      </c>
    </row>
    <row r="763">
      <c r="A763" s="10" t="s">
        <v>26</v>
      </c>
      <c r="B763" s="10" t="s">
        <v>41</v>
      </c>
      <c r="C763" s="10" t="s">
        <v>44</v>
      </c>
      <c r="D763" s="10" t="s">
        <v>34</v>
      </c>
      <c r="E763" s="10" t="s">
        <v>43</v>
      </c>
      <c r="F763" s="10">
        <v>237.0</v>
      </c>
      <c r="G763" s="10" t="str">
        <f>IFERROR(VLOOKUP(C763&amp;D763&amp;E763&amp;F763,productID!$A$2:$B$7,2,FALSE))</f>
        <v/>
      </c>
      <c r="H763" s="10">
        <v>2023.0</v>
      </c>
      <c r="I763" s="10" t="s">
        <v>53</v>
      </c>
      <c r="J763" s="10">
        <v>162.0898220031505</v>
      </c>
      <c r="K763" s="11"/>
      <c r="L763" s="12"/>
      <c r="M763" s="9">
        <v>7.437769426422514</v>
      </c>
    </row>
    <row r="764">
      <c r="A764" s="10" t="s">
        <v>26</v>
      </c>
      <c r="B764" s="10" t="s">
        <v>41</v>
      </c>
      <c r="C764" s="10" t="s">
        <v>44</v>
      </c>
      <c r="D764" s="10" t="s">
        <v>34</v>
      </c>
      <c r="E764" s="10" t="s">
        <v>43</v>
      </c>
      <c r="F764" s="10">
        <v>237.0</v>
      </c>
      <c r="G764" s="10" t="str">
        <f>IFERROR(VLOOKUP(C764&amp;D764&amp;E764&amp;F764,productID!$A$2:$B$7,2,FALSE))</f>
        <v/>
      </c>
      <c r="H764" s="10">
        <v>2023.0</v>
      </c>
      <c r="I764" s="10" t="s">
        <v>54</v>
      </c>
      <c r="J764" s="10">
        <v>164.83387345929614</v>
      </c>
      <c r="K764" s="11"/>
      <c r="L764" s="12"/>
      <c r="M764" s="9">
        <v>7.83885696442764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4">
        <v>3.38416809832853E14</v>
      </c>
      <c r="B1" s="9">
        <f t="shared" ref="B1:B32" si="1">A1/100000000000000</f>
        <v>3.384168098</v>
      </c>
    </row>
    <row r="2">
      <c r="A2" s="14">
        <v>5.1883948721015E14</v>
      </c>
      <c r="B2" s="9">
        <f t="shared" si="1"/>
        <v>5.188394872</v>
      </c>
    </row>
    <row r="3">
      <c r="A3" s="14">
        <v>4.73669694285604E14</v>
      </c>
      <c r="B3" s="9">
        <f t="shared" si="1"/>
        <v>4.736696943</v>
      </c>
    </row>
    <row r="4">
      <c r="A4" s="14">
        <v>5.02607678779522E14</v>
      </c>
      <c r="B4" s="9">
        <f t="shared" si="1"/>
        <v>5.026076788</v>
      </c>
    </row>
    <row r="5">
      <c r="A5" s="14">
        <v>6.44982663912747E14</v>
      </c>
      <c r="B5" s="9">
        <f t="shared" si="1"/>
        <v>6.449826639</v>
      </c>
    </row>
    <row r="6">
      <c r="A6" s="14">
        <v>7.95854468042367E14</v>
      </c>
      <c r="B6" s="9">
        <f t="shared" si="1"/>
        <v>7.95854468</v>
      </c>
    </row>
    <row r="7">
      <c r="A7" s="14">
        <v>7.44201326128784E14</v>
      </c>
      <c r="B7" s="9">
        <f t="shared" si="1"/>
        <v>7.442013261</v>
      </c>
    </row>
    <row r="8">
      <c r="A8" s="14">
        <v>6.78598267014222E14</v>
      </c>
      <c r="B8" s="9">
        <f t="shared" si="1"/>
        <v>6.78598267</v>
      </c>
    </row>
    <row r="9">
      <c r="A9" s="14">
        <v>1.2732959258898E13</v>
      </c>
      <c r="B9" s="9">
        <f t="shared" si="1"/>
        <v>0.1273295926</v>
      </c>
    </row>
    <row r="10">
      <c r="A10" s="14">
        <v>4.2864558878258E13</v>
      </c>
      <c r="B10" s="9">
        <f t="shared" si="1"/>
        <v>0.4286455888</v>
      </c>
    </row>
    <row r="11">
      <c r="A11" s="14">
        <v>6.1419495187473E13</v>
      </c>
      <c r="B11" s="9">
        <f t="shared" si="1"/>
        <v>0.6141949519</v>
      </c>
    </row>
    <row r="12">
      <c r="A12" s="14">
        <v>5.7527460167951E13</v>
      </c>
      <c r="B12" s="9">
        <f t="shared" si="1"/>
        <v>0.5752746017</v>
      </c>
    </row>
    <row r="13">
      <c r="A13" s="14">
        <v>5.3663574161446E13</v>
      </c>
      <c r="B13" s="9">
        <f t="shared" si="1"/>
        <v>0.5366357416</v>
      </c>
    </row>
    <row r="14">
      <c r="A14" s="14">
        <v>5.3285978285425E13</v>
      </c>
      <c r="B14" s="9">
        <f t="shared" si="1"/>
        <v>0.5328597829</v>
      </c>
    </row>
    <row r="15">
      <c r="A15" s="14">
        <v>8.8864768993701E13</v>
      </c>
      <c r="B15" s="9">
        <f t="shared" si="1"/>
        <v>0.8886476899</v>
      </c>
    </row>
    <row r="16">
      <c r="A16" s="14">
        <v>4.5198298348577E13</v>
      </c>
      <c r="B16" s="9">
        <f t="shared" si="1"/>
        <v>0.4519829835</v>
      </c>
    </row>
    <row r="17">
      <c r="A17" s="14">
        <v>1.71146242204988E14</v>
      </c>
      <c r="B17" s="9">
        <f t="shared" si="1"/>
        <v>1.711462422</v>
      </c>
    </row>
    <row r="18">
      <c r="A18" s="14">
        <v>2.29282236072947E14</v>
      </c>
      <c r="B18" s="9">
        <f t="shared" si="1"/>
        <v>2.292822361</v>
      </c>
    </row>
    <row r="19">
      <c r="A19" s="14">
        <v>2.08956357373409E14</v>
      </c>
      <c r="B19" s="9">
        <f t="shared" si="1"/>
        <v>2.089563574</v>
      </c>
    </row>
    <row r="20">
      <c r="A20" s="14">
        <v>2.32979232634686E14</v>
      </c>
      <c r="B20" s="9">
        <f t="shared" si="1"/>
        <v>2.329792326</v>
      </c>
    </row>
    <row r="21">
      <c r="A21" s="14">
        <v>2.70009895361739E14</v>
      </c>
      <c r="B21" s="9">
        <f t="shared" si="1"/>
        <v>2.700098954</v>
      </c>
    </row>
    <row r="22">
      <c r="A22" s="14">
        <v>2.77393929013579E14</v>
      </c>
      <c r="B22" s="9">
        <f t="shared" si="1"/>
        <v>2.77393929</v>
      </c>
    </row>
    <row r="23">
      <c r="A23" s="14">
        <v>2.8103151137489E14</v>
      </c>
      <c r="B23" s="9">
        <f t="shared" si="1"/>
        <v>2.810315114</v>
      </c>
    </row>
    <row r="24">
      <c r="A24" s="14">
        <v>1.74564070736383E14</v>
      </c>
      <c r="B24" s="9">
        <f t="shared" si="1"/>
        <v>1.745640707</v>
      </c>
    </row>
    <row r="25">
      <c r="A25" s="14">
        <v>1.20600464821588E15</v>
      </c>
      <c r="B25" s="9">
        <f t="shared" si="1"/>
        <v>12.06004648</v>
      </c>
    </row>
    <row r="26">
      <c r="A26" s="14">
        <v>1.65170896162141E15</v>
      </c>
      <c r="B26" s="9">
        <f t="shared" si="1"/>
        <v>16.51708962</v>
      </c>
    </row>
    <row r="27">
      <c r="A27" s="14">
        <v>1.48463106256428E15</v>
      </c>
      <c r="B27" s="9">
        <f t="shared" si="1"/>
        <v>14.84631063</v>
      </c>
    </row>
    <row r="28">
      <c r="A28" s="14">
        <v>1.63581278757161E15</v>
      </c>
      <c r="B28" s="9">
        <f t="shared" si="1"/>
        <v>16.35812788</v>
      </c>
    </row>
    <row r="29">
      <c r="A29" s="14">
        <v>1.97928685079475E15</v>
      </c>
      <c r="B29" s="9">
        <f t="shared" si="1"/>
        <v>19.79286851</v>
      </c>
    </row>
    <row r="30">
      <c r="A30" s="14">
        <v>2.04911708767938E15</v>
      </c>
      <c r="B30" s="9">
        <f t="shared" si="1"/>
        <v>20.49117088</v>
      </c>
    </row>
    <row r="31">
      <c r="A31" s="14">
        <v>2.03254289145728E15</v>
      </c>
      <c r="B31" s="9">
        <f t="shared" si="1"/>
        <v>20.32542891</v>
      </c>
    </row>
    <row r="32">
      <c r="A32" s="14">
        <v>1.90925923819955E15</v>
      </c>
      <c r="B32" s="9">
        <f t="shared" si="1"/>
        <v>19.09259238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2.86"/>
    <col customWidth="1" min="2" max="2" width="16.0"/>
    <col customWidth="1" min="3" max="3" width="9.86"/>
    <col customWidth="1" min="4" max="4" width="10.57"/>
    <col customWidth="1" min="5" max="6" width="9.14"/>
    <col customWidth="1" min="7" max="7" width="11.57"/>
    <col customWidth="1" min="8" max="8" width="5.43"/>
    <col customWidth="1" min="9" max="9" width="8.0"/>
    <col customWidth="1" min="10" max="10" width="17.29"/>
    <col customWidth="1" min="11" max="11" width="12.29"/>
    <col customWidth="1" min="12" max="12" width="14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47</v>
      </c>
      <c r="H1" s="2" t="s">
        <v>48</v>
      </c>
      <c r="I1" s="2" t="s">
        <v>49</v>
      </c>
      <c r="J1" s="1" t="s">
        <v>7</v>
      </c>
      <c r="K1" s="2" t="s">
        <v>8</v>
      </c>
      <c r="L1" s="2" t="s">
        <v>9</v>
      </c>
    </row>
    <row r="2">
      <c r="A2" s="9" t="s">
        <v>10</v>
      </c>
      <c r="B2" s="9" t="s">
        <v>38</v>
      </c>
      <c r="C2" s="9" t="s">
        <v>39</v>
      </c>
      <c r="D2" s="9" t="s">
        <v>13</v>
      </c>
      <c r="E2" s="9" t="s">
        <v>14</v>
      </c>
      <c r="F2" s="9">
        <v>110.0</v>
      </c>
      <c r="G2" s="9" t="s">
        <v>55</v>
      </c>
      <c r="H2" s="9">
        <v>2022.0</v>
      </c>
      <c r="I2" s="9" t="s">
        <v>51</v>
      </c>
      <c r="J2" s="9">
        <v>6.237637396687077</v>
      </c>
      <c r="K2" s="9">
        <v>4.288233633703155</v>
      </c>
      <c r="L2" s="15">
        <v>3.573528028085962</v>
      </c>
    </row>
    <row r="3">
      <c r="A3" s="9" t="s">
        <v>10</v>
      </c>
      <c r="B3" s="9" t="s">
        <v>38</v>
      </c>
      <c r="C3" s="9" t="s">
        <v>39</v>
      </c>
      <c r="D3" s="9" t="s">
        <v>13</v>
      </c>
      <c r="E3" s="9" t="s">
        <v>14</v>
      </c>
      <c r="F3" s="9">
        <v>110.0</v>
      </c>
      <c r="G3" s="9" t="s">
        <v>55</v>
      </c>
      <c r="H3" s="9">
        <v>2022.0</v>
      </c>
      <c r="I3" s="9" t="s">
        <v>52</v>
      </c>
      <c r="J3" s="9">
        <v>4.590015517353109</v>
      </c>
      <c r="K3" s="9">
        <v>3.3211793666536047</v>
      </c>
      <c r="L3" s="15">
        <v>2.767649472211337</v>
      </c>
    </row>
    <row r="4">
      <c r="A4" s="9" t="s">
        <v>10</v>
      </c>
      <c r="B4" s="9" t="s">
        <v>38</v>
      </c>
      <c r="C4" s="9" t="s">
        <v>39</v>
      </c>
      <c r="D4" s="9" t="s">
        <v>13</v>
      </c>
      <c r="E4" s="9" t="s">
        <v>14</v>
      </c>
      <c r="F4" s="9">
        <v>110.0</v>
      </c>
      <c r="G4" s="9" t="s">
        <v>55</v>
      </c>
      <c r="H4" s="9">
        <v>2022.0</v>
      </c>
      <c r="I4" s="9" t="s">
        <v>53</v>
      </c>
      <c r="J4" s="9">
        <v>5.703660139165748</v>
      </c>
      <c r="K4" s="9">
        <v>4.038773580593188</v>
      </c>
      <c r="L4" s="15">
        <v>3.365644650494323</v>
      </c>
    </row>
    <row r="5">
      <c r="A5" s="9" t="s">
        <v>10</v>
      </c>
      <c r="B5" s="9" t="s">
        <v>38</v>
      </c>
      <c r="C5" s="9" t="s">
        <v>39</v>
      </c>
      <c r="D5" s="9" t="s">
        <v>13</v>
      </c>
      <c r="E5" s="9" t="s">
        <v>14</v>
      </c>
      <c r="F5" s="9">
        <v>110.0</v>
      </c>
      <c r="G5" s="9" t="s">
        <v>55</v>
      </c>
      <c r="H5" s="9">
        <v>2022.0</v>
      </c>
      <c r="I5" s="9" t="s">
        <v>54</v>
      </c>
      <c r="J5" s="9">
        <v>7.086340731411497</v>
      </c>
      <c r="K5" s="9">
        <v>4.953184690631497</v>
      </c>
      <c r="L5" s="15">
        <v>4.127653908859581</v>
      </c>
    </row>
    <row r="6">
      <c r="A6" s="9" t="s">
        <v>10</v>
      </c>
      <c r="B6" s="9" t="s">
        <v>38</v>
      </c>
      <c r="C6" s="9" t="s">
        <v>39</v>
      </c>
      <c r="D6" s="9" t="s">
        <v>13</v>
      </c>
      <c r="E6" s="9" t="s">
        <v>14</v>
      </c>
      <c r="F6" s="9">
        <v>110.0</v>
      </c>
      <c r="G6" s="9" t="s">
        <v>55</v>
      </c>
      <c r="H6" s="9">
        <v>2023.0</v>
      </c>
      <c r="I6" s="9" t="s">
        <v>51</v>
      </c>
      <c r="J6" s="9">
        <v>6.6973497425623805</v>
      </c>
      <c r="K6" s="9">
        <v>4.65457545410034</v>
      </c>
      <c r="L6" s="15">
        <v>3.8788128784169498</v>
      </c>
    </row>
    <row r="7">
      <c r="A7" s="9" t="s">
        <v>10</v>
      </c>
      <c r="B7" s="9" t="s">
        <v>38</v>
      </c>
      <c r="C7" s="9" t="s">
        <v>39</v>
      </c>
      <c r="D7" s="9" t="s">
        <v>13</v>
      </c>
      <c r="E7" s="9" t="s">
        <v>14</v>
      </c>
      <c r="F7" s="9">
        <v>110.0</v>
      </c>
      <c r="G7" s="9" t="s">
        <v>55</v>
      </c>
      <c r="H7" s="9">
        <v>2023.0</v>
      </c>
      <c r="I7" s="9" t="s">
        <v>52</v>
      </c>
      <c r="J7" s="9">
        <v>5.346775389158864</v>
      </c>
      <c r="K7" s="9">
        <v>3.9566976755158776</v>
      </c>
      <c r="L7" s="15">
        <v>3.297248062929898</v>
      </c>
    </row>
    <row r="8">
      <c r="A8" s="9" t="s">
        <v>10</v>
      </c>
      <c r="B8" s="9" t="s">
        <v>38</v>
      </c>
      <c r="C8" s="9" t="s">
        <v>39</v>
      </c>
      <c r="D8" s="9" t="s">
        <v>13</v>
      </c>
      <c r="E8" s="9" t="s">
        <v>14</v>
      </c>
      <c r="F8" s="9">
        <v>110.0</v>
      </c>
      <c r="G8" s="9" t="s">
        <v>55</v>
      </c>
      <c r="H8" s="9">
        <v>2023.0</v>
      </c>
      <c r="I8" s="9" t="s">
        <v>53</v>
      </c>
      <c r="J8" s="9">
        <v>6.970528884564402</v>
      </c>
      <c r="K8" s="9">
        <v>5.12465952976748</v>
      </c>
      <c r="L8" s="15">
        <v>4.270549608139566</v>
      </c>
    </row>
    <row r="9">
      <c r="A9" s="9" t="s">
        <v>10</v>
      </c>
      <c r="B9" s="9" t="s">
        <v>38</v>
      </c>
      <c r="C9" s="9" t="s">
        <v>39</v>
      </c>
      <c r="D9" s="9" t="s">
        <v>13</v>
      </c>
      <c r="E9" s="9" t="s">
        <v>14</v>
      </c>
      <c r="F9" s="9">
        <v>110.0</v>
      </c>
      <c r="G9" s="9" t="s">
        <v>55</v>
      </c>
      <c r="H9" s="9">
        <v>2023.0</v>
      </c>
      <c r="I9" s="9" t="s">
        <v>54</v>
      </c>
      <c r="J9" s="9">
        <v>6.062008075801273</v>
      </c>
      <c r="K9" s="9">
        <v>4.391042792216476</v>
      </c>
      <c r="L9" s="15">
        <v>3.6592023268470637</v>
      </c>
    </row>
    <row r="10">
      <c r="A10" s="9" t="s">
        <v>24</v>
      </c>
      <c r="B10" s="9" t="s">
        <v>38</v>
      </c>
      <c r="C10" s="9" t="s">
        <v>39</v>
      </c>
      <c r="D10" s="9" t="s">
        <v>13</v>
      </c>
      <c r="E10" s="9" t="s">
        <v>14</v>
      </c>
      <c r="F10" s="9">
        <v>110.0</v>
      </c>
      <c r="G10" s="9" t="s">
        <v>55</v>
      </c>
      <c r="H10" s="9">
        <v>2022.0</v>
      </c>
      <c r="I10" s="9" t="s">
        <v>51</v>
      </c>
      <c r="J10" s="9">
        <v>14.372304268161182</v>
      </c>
      <c r="K10" s="9">
        <v>10.524981112425174</v>
      </c>
      <c r="L10" s="15">
        <v>8.770817593687646</v>
      </c>
    </row>
    <row r="11">
      <c r="A11" s="9" t="s">
        <v>24</v>
      </c>
      <c r="B11" s="9" t="s">
        <v>38</v>
      </c>
      <c r="C11" s="9" t="s">
        <v>39</v>
      </c>
      <c r="D11" s="9" t="s">
        <v>13</v>
      </c>
      <c r="E11" s="9" t="s">
        <v>14</v>
      </c>
      <c r="F11" s="9">
        <v>110.0</v>
      </c>
      <c r="G11" s="9" t="s">
        <v>55</v>
      </c>
      <c r="H11" s="9">
        <v>2022.0</v>
      </c>
      <c r="I11" s="9" t="s">
        <v>52</v>
      </c>
      <c r="J11" s="9">
        <v>10.879993752240638</v>
      </c>
      <c r="K11" s="9">
        <v>6.735636620657027</v>
      </c>
      <c r="L11" s="15">
        <v>5.613030517214189</v>
      </c>
    </row>
    <row r="12">
      <c r="A12" s="9" t="s">
        <v>24</v>
      </c>
      <c r="B12" s="9" t="s">
        <v>38</v>
      </c>
      <c r="C12" s="9" t="s">
        <v>39</v>
      </c>
      <c r="D12" s="9" t="s">
        <v>13</v>
      </c>
      <c r="E12" s="9" t="s">
        <v>14</v>
      </c>
      <c r="F12" s="9">
        <v>110.0</v>
      </c>
      <c r="G12" s="9" t="s">
        <v>55</v>
      </c>
      <c r="H12" s="9">
        <v>2022.0</v>
      </c>
      <c r="I12" s="9" t="s">
        <v>53</v>
      </c>
      <c r="J12" s="9">
        <v>13.888152694507188</v>
      </c>
      <c r="K12" s="9">
        <v>8.44106262388147</v>
      </c>
      <c r="L12" s="15">
        <v>7.034218853234558</v>
      </c>
    </row>
    <row r="13">
      <c r="A13" s="9" t="s">
        <v>24</v>
      </c>
      <c r="B13" s="9" t="s">
        <v>38</v>
      </c>
      <c r="C13" s="9" t="s">
        <v>39</v>
      </c>
      <c r="D13" s="9" t="s">
        <v>13</v>
      </c>
      <c r="E13" s="9" t="s">
        <v>14</v>
      </c>
      <c r="F13" s="9">
        <v>110.0</v>
      </c>
      <c r="G13" s="9" t="s">
        <v>55</v>
      </c>
      <c r="H13" s="9">
        <v>2022.0</v>
      </c>
      <c r="I13" s="9" t="s">
        <v>54</v>
      </c>
      <c r="J13" s="9">
        <v>15.62520572503208</v>
      </c>
      <c r="K13" s="9">
        <v>9.859780005125053</v>
      </c>
      <c r="L13" s="15">
        <v>8.21648333760421</v>
      </c>
    </row>
    <row r="14">
      <c r="A14" s="9" t="s">
        <v>24</v>
      </c>
      <c r="B14" s="9" t="s">
        <v>38</v>
      </c>
      <c r="C14" s="9" t="s">
        <v>39</v>
      </c>
      <c r="D14" s="9" t="s">
        <v>13</v>
      </c>
      <c r="E14" s="9" t="s">
        <v>14</v>
      </c>
      <c r="F14" s="9">
        <v>110.0</v>
      </c>
      <c r="G14" s="9" t="s">
        <v>55</v>
      </c>
      <c r="H14" s="9">
        <v>2023.0</v>
      </c>
      <c r="I14" s="9" t="s">
        <v>51</v>
      </c>
      <c r="J14" s="9">
        <v>16.63660557364736</v>
      </c>
      <c r="K14" s="9">
        <v>11.29036353974798</v>
      </c>
      <c r="L14" s="15">
        <v>9.408636283123316</v>
      </c>
    </row>
    <row r="15">
      <c r="A15" s="9" t="s">
        <v>24</v>
      </c>
      <c r="B15" s="9" t="s">
        <v>38</v>
      </c>
      <c r="C15" s="9" t="s">
        <v>39</v>
      </c>
      <c r="D15" s="9" t="s">
        <v>13</v>
      </c>
      <c r="E15" s="9" t="s">
        <v>14</v>
      </c>
      <c r="F15" s="9">
        <v>110.0</v>
      </c>
      <c r="G15" s="9" t="s">
        <v>55</v>
      </c>
      <c r="H15" s="9">
        <v>2023.0</v>
      </c>
      <c r="I15" s="9" t="s">
        <v>52</v>
      </c>
      <c r="J15" s="9">
        <v>16.67773087040527</v>
      </c>
      <c r="K15" s="9">
        <v>10.613029200039458</v>
      </c>
      <c r="L15" s="15">
        <v>8.84419100003288</v>
      </c>
    </row>
    <row r="16">
      <c r="A16" s="9" t="s">
        <v>24</v>
      </c>
      <c r="B16" s="9" t="s">
        <v>38</v>
      </c>
      <c r="C16" s="9" t="s">
        <v>39</v>
      </c>
      <c r="D16" s="9" t="s">
        <v>13</v>
      </c>
      <c r="E16" s="9" t="s">
        <v>14</v>
      </c>
      <c r="F16" s="9">
        <v>110.0</v>
      </c>
      <c r="G16" s="9" t="s">
        <v>55</v>
      </c>
      <c r="H16" s="9">
        <v>2023.0</v>
      </c>
      <c r="I16" s="9" t="s">
        <v>53</v>
      </c>
      <c r="J16" s="9">
        <v>15.019083041415065</v>
      </c>
      <c r="K16" s="9">
        <v>10.008468556716224</v>
      </c>
      <c r="L16" s="15">
        <v>8.340390463930186</v>
      </c>
    </row>
    <row r="17">
      <c r="A17" s="9" t="s">
        <v>24</v>
      </c>
      <c r="B17" s="9" t="s">
        <v>38</v>
      </c>
      <c r="C17" s="9" t="s">
        <v>39</v>
      </c>
      <c r="D17" s="9" t="s">
        <v>13</v>
      </c>
      <c r="E17" s="9" t="s">
        <v>14</v>
      </c>
      <c r="F17" s="9">
        <v>110.0</v>
      </c>
      <c r="G17" s="9" t="s">
        <v>55</v>
      </c>
      <c r="H17" s="9">
        <v>2023.0</v>
      </c>
      <c r="I17" s="9" t="s">
        <v>54</v>
      </c>
      <c r="J17" s="9">
        <v>14.607855391707492</v>
      </c>
      <c r="K17" s="9">
        <v>9.390849584026805</v>
      </c>
      <c r="L17" s="15">
        <v>7.825707986689005</v>
      </c>
    </row>
    <row r="18">
      <c r="A18" s="9" t="s">
        <v>25</v>
      </c>
      <c r="B18" s="9" t="s">
        <v>38</v>
      </c>
      <c r="C18" s="9" t="s">
        <v>39</v>
      </c>
      <c r="D18" s="9" t="s">
        <v>13</v>
      </c>
      <c r="E18" s="9" t="s">
        <v>14</v>
      </c>
      <c r="F18" s="9">
        <v>110.0</v>
      </c>
      <c r="G18" s="9" t="s">
        <v>55</v>
      </c>
      <c r="H18" s="9">
        <v>2022.0</v>
      </c>
      <c r="I18" s="9" t="s">
        <v>51</v>
      </c>
      <c r="J18" s="9">
        <v>26.170089560647863</v>
      </c>
      <c r="K18" s="9">
        <v>17.2512519373974</v>
      </c>
      <c r="L18" s="15">
        <v>14.376043281164499</v>
      </c>
    </row>
    <row r="19">
      <c r="A19" s="9" t="s">
        <v>25</v>
      </c>
      <c r="B19" s="9" t="s">
        <v>38</v>
      </c>
      <c r="C19" s="9" t="s">
        <v>39</v>
      </c>
      <c r="D19" s="9" t="s">
        <v>13</v>
      </c>
      <c r="E19" s="9" t="s">
        <v>14</v>
      </c>
      <c r="F19" s="9">
        <v>110.0</v>
      </c>
      <c r="G19" s="9" t="s">
        <v>55</v>
      </c>
      <c r="H19" s="9">
        <v>2022.0</v>
      </c>
      <c r="I19" s="9" t="s">
        <v>52</v>
      </c>
      <c r="J19" s="9">
        <v>26.863527445341912</v>
      </c>
      <c r="K19" s="9">
        <v>18.65565045925735</v>
      </c>
      <c r="L19" s="15">
        <v>15.546375382714459</v>
      </c>
    </row>
    <row r="20">
      <c r="A20" s="9" t="s">
        <v>25</v>
      </c>
      <c r="B20" s="9" t="s">
        <v>38</v>
      </c>
      <c r="C20" s="9" t="s">
        <v>39</v>
      </c>
      <c r="D20" s="9" t="s">
        <v>13</v>
      </c>
      <c r="E20" s="9" t="s">
        <v>14</v>
      </c>
      <c r="F20" s="9">
        <v>110.0</v>
      </c>
      <c r="G20" s="9" t="s">
        <v>55</v>
      </c>
      <c r="H20" s="9">
        <v>2022.0</v>
      </c>
      <c r="I20" s="9" t="s">
        <v>53</v>
      </c>
      <c r="J20" s="9">
        <v>26.478296011836505</v>
      </c>
      <c r="K20" s="9">
        <v>19.404569285207472</v>
      </c>
      <c r="L20" s="15">
        <v>16.170474404339558</v>
      </c>
    </row>
    <row r="21">
      <c r="A21" s="9" t="s">
        <v>25</v>
      </c>
      <c r="B21" s="9" t="s">
        <v>38</v>
      </c>
      <c r="C21" s="9" t="s">
        <v>39</v>
      </c>
      <c r="D21" s="9" t="s">
        <v>13</v>
      </c>
      <c r="E21" s="9" t="s">
        <v>14</v>
      </c>
      <c r="F21" s="9">
        <v>110.0</v>
      </c>
      <c r="G21" s="9" t="s">
        <v>55</v>
      </c>
      <c r="H21" s="9">
        <v>2022.0</v>
      </c>
      <c r="I21" s="9" t="s">
        <v>54</v>
      </c>
      <c r="J21" s="9">
        <v>27.19189360064357</v>
      </c>
      <c r="K21" s="9">
        <v>19.39672676344283</v>
      </c>
      <c r="L21" s="15">
        <v>16.163938969535696</v>
      </c>
    </row>
    <row r="22">
      <c r="A22" s="9" t="s">
        <v>25</v>
      </c>
      <c r="B22" s="9" t="s">
        <v>38</v>
      </c>
      <c r="C22" s="9" t="s">
        <v>39</v>
      </c>
      <c r="D22" s="9" t="s">
        <v>13</v>
      </c>
      <c r="E22" s="9" t="s">
        <v>14</v>
      </c>
      <c r="F22" s="9">
        <v>110.0</v>
      </c>
      <c r="G22" s="9" t="s">
        <v>55</v>
      </c>
      <c r="H22" s="9">
        <v>2023.0</v>
      </c>
      <c r="I22" s="9" t="s">
        <v>51</v>
      </c>
      <c r="J22" s="9">
        <v>27.42496616826472</v>
      </c>
      <c r="K22" s="9">
        <v>17.562490724072358</v>
      </c>
      <c r="L22" s="15">
        <v>14.635408936726964</v>
      </c>
    </row>
    <row r="23">
      <c r="A23" s="9" t="s">
        <v>25</v>
      </c>
      <c r="B23" s="9" t="s">
        <v>38</v>
      </c>
      <c r="C23" s="9" t="s">
        <v>39</v>
      </c>
      <c r="D23" s="9" t="s">
        <v>13</v>
      </c>
      <c r="E23" s="9" t="s">
        <v>14</v>
      </c>
      <c r="F23" s="9">
        <v>110.0</v>
      </c>
      <c r="G23" s="9" t="s">
        <v>55</v>
      </c>
      <c r="H23" s="9">
        <v>2023.0</v>
      </c>
      <c r="I23" s="9" t="s">
        <v>52</v>
      </c>
      <c r="J23" s="9">
        <v>30.146086515082846</v>
      </c>
      <c r="K23" s="9">
        <v>21.700191420495088</v>
      </c>
      <c r="L23" s="15">
        <v>18.083492850412576</v>
      </c>
    </row>
    <row r="24">
      <c r="A24" s="9" t="s">
        <v>25</v>
      </c>
      <c r="B24" s="9" t="s">
        <v>38</v>
      </c>
      <c r="C24" s="9" t="s">
        <v>39</v>
      </c>
      <c r="D24" s="9" t="s">
        <v>13</v>
      </c>
      <c r="E24" s="9" t="s">
        <v>14</v>
      </c>
      <c r="F24" s="9">
        <v>110.0</v>
      </c>
      <c r="G24" s="9" t="s">
        <v>55</v>
      </c>
      <c r="H24" s="9">
        <v>2023.0</v>
      </c>
      <c r="I24" s="9" t="s">
        <v>53</v>
      </c>
      <c r="J24" s="9">
        <v>31.915783672505686</v>
      </c>
      <c r="K24" s="9">
        <v>23.424359407036793</v>
      </c>
      <c r="L24" s="15">
        <v>19.520299505863992</v>
      </c>
    </row>
    <row r="25">
      <c r="A25" s="9" t="s">
        <v>25</v>
      </c>
      <c r="B25" s="9" t="s">
        <v>38</v>
      </c>
      <c r="C25" s="9" t="s">
        <v>39</v>
      </c>
      <c r="D25" s="9" t="s">
        <v>13</v>
      </c>
      <c r="E25" s="9" t="s">
        <v>14</v>
      </c>
      <c r="F25" s="9">
        <v>110.0</v>
      </c>
      <c r="G25" s="9" t="s">
        <v>55</v>
      </c>
      <c r="H25" s="9">
        <v>2023.0</v>
      </c>
      <c r="I25" s="9" t="s">
        <v>54</v>
      </c>
      <c r="J25" s="9">
        <v>33.91981109543675</v>
      </c>
      <c r="K25" s="9">
        <v>24.579535187749308</v>
      </c>
      <c r="L25" s="15">
        <v>20.48294598979109</v>
      </c>
    </row>
    <row r="26">
      <c r="A26" s="9" t="s">
        <v>26</v>
      </c>
      <c r="B26" s="9" t="s">
        <v>38</v>
      </c>
      <c r="C26" s="9" t="s">
        <v>39</v>
      </c>
      <c r="D26" s="9" t="s">
        <v>13</v>
      </c>
      <c r="E26" s="9" t="s">
        <v>14</v>
      </c>
      <c r="F26" s="9">
        <v>110.0</v>
      </c>
      <c r="G26" s="9" t="s">
        <v>55</v>
      </c>
      <c r="H26" s="9">
        <v>2022.0</v>
      </c>
      <c r="I26" s="9" t="s">
        <v>51</v>
      </c>
      <c r="J26" s="9">
        <v>19.477482568786023</v>
      </c>
      <c r="K26" s="9">
        <v>12.852486697418888</v>
      </c>
      <c r="L26" s="15">
        <v>10.710405581182407</v>
      </c>
    </row>
    <row r="27">
      <c r="A27" s="9" t="s">
        <v>26</v>
      </c>
      <c r="B27" s="9" t="s">
        <v>38</v>
      </c>
      <c r="C27" s="9" t="s">
        <v>39</v>
      </c>
      <c r="D27" s="9" t="s">
        <v>13</v>
      </c>
      <c r="E27" s="9" t="s">
        <v>14</v>
      </c>
      <c r="F27" s="9">
        <v>110.0</v>
      </c>
      <c r="G27" s="9" t="s">
        <v>55</v>
      </c>
      <c r="H27" s="9">
        <v>2022.0</v>
      </c>
      <c r="I27" s="9" t="s">
        <v>52</v>
      </c>
      <c r="J27" s="9">
        <v>16.37191134688026</v>
      </c>
      <c r="K27" s="9">
        <v>10.715400986560995</v>
      </c>
      <c r="L27" s="15">
        <v>8.929500822134163</v>
      </c>
    </row>
    <row r="28">
      <c r="A28" s="9" t="s">
        <v>26</v>
      </c>
      <c r="B28" s="9" t="s">
        <v>38</v>
      </c>
      <c r="C28" s="9" t="s">
        <v>39</v>
      </c>
      <c r="D28" s="9" t="s">
        <v>13</v>
      </c>
      <c r="E28" s="9" t="s">
        <v>14</v>
      </c>
      <c r="F28" s="9">
        <v>110.0</v>
      </c>
      <c r="G28" s="9" t="s">
        <v>55</v>
      </c>
      <c r="H28" s="9">
        <v>2022.0</v>
      </c>
      <c r="I28" s="9" t="s">
        <v>53</v>
      </c>
      <c r="J28" s="9">
        <v>20.640346657306228</v>
      </c>
      <c r="K28" s="9">
        <v>14.92733430312507</v>
      </c>
      <c r="L28" s="15">
        <v>12.439445252604225</v>
      </c>
    </row>
    <row r="29">
      <c r="A29" s="9" t="s">
        <v>26</v>
      </c>
      <c r="B29" s="9" t="s">
        <v>38</v>
      </c>
      <c r="C29" s="9" t="s">
        <v>39</v>
      </c>
      <c r="D29" s="9" t="s">
        <v>13</v>
      </c>
      <c r="E29" s="9" t="s">
        <v>14</v>
      </c>
      <c r="F29" s="9">
        <v>110.0</v>
      </c>
      <c r="G29" s="9" t="s">
        <v>55</v>
      </c>
      <c r="H29" s="9">
        <v>2022.0</v>
      </c>
      <c r="I29" s="9" t="s">
        <v>54</v>
      </c>
      <c r="J29" s="9">
        <v>22.95657254834857</v>
      </c>
      <c r="K29" s="9">
        <v>15.24087074364932</v>
      </c>
      <c r="L29" s="15">
        <v>12.700725619707766</v>
      </c>
    </row>
    <row r="30">
      <c r="A30" s="9" t="s">
        <v>26</v>
      </c>
      <c r="B30" s="9" t="s">
        <v>38</v>
      </c>
      <c r="C30" s="9" t="s">
        <v>39</v>
      </c>
      <c r="D30" s="9" t="s">
        <v>13</v>
      </c>
      <c r="E30" s="9" t="s">
        <v>14</v>
      </c>
      <c r="F30" s="9">
        <v>110.0</v>
      </c>
      <c r="G30" s="9" t="s">
        <v>55</v>
      </c>
      <c r="H30" s="9">
        <v>2023.0</v>
      </c>
      <c r="I30" s="9" t="s">
        <v>51</v>
      </c>
      <c r="J30" s="9">
        <v>25.665773385131395</v>
      </c>
      <c r="K30" s="9">
        <v>18.250437854052134</v>
      </c>
      <c r="L30" s="15">
        <v>15.208698211710113</v>
      </c>
    </row>
    <row r="31">
      <c r="A31" s="9" t="s">
        <v>26</v>
      </c>
      <c r="B31" s="9" t="s">
        <v>38</v>
      </c>
      <c r="C31" s="9" t="s">
        <v>39</v>
      </c>
      <c r="D31" s="9" t="s">
        <v>13</v>
      </c>
      <c r="E31" s="9" t="s">
        <v>14</v>
      </c>
      <c r="F31" s="9">
        <v>110.0</v>
      </c>
      <c r="G31" s="9" t="s">
        <v>55</v>
      </c>
      <c r="H31" s="9">
        <v>2023.0</v>
      </c>
      <c r="I31" s="9" t="s">
        <v>52</v>
      </c>
      <c r="J31" s="9">
        <v>19.957801672376903</v>
      </c>
      <c r="K31" s="9">
        <v>14.322889571929997</v>
      </c>
      <c r="L31" s="15">
        <v>11.935741309941664</v>
      </c>
    </row>
    <row r="32">
      <c r="A32" s="9" t="s">
        <v>26</v>
      </c>
      <c r="B32" s="9" t="s">
        <v>38</v>
      </c>
      <c r="C32" s="9" t="s">
        <v>39</v>
      </c>
      <c r="D32" s="9" t="s">
        <v>13</v>
      </c>
      <c r="E32" s="9" t="s">
        <v>14</v>
      </c>
      <c r="F32" s="9">
        <v>110.0</v>
      </c>
      <c r="G32" s="9" t="s">
        <v>55</v>
      </c>
      <c r="H32" s="9">
        <v>2023.0</v>
      </c>
      <c r="I32" s="9" t="s">
        <v>53</v>
      </c>
      <c r="J32" s="9">
        <v>24.485131881128908</v>
      </c>
      <c r="K32" s="9">
        <v>16.563156283564837</v>
      </c>
      <c r="L32" s="15">
        <v>13.80263023630403</v>
      </c>
    </row>
    <row r="33">
      <c r="A33" s="9" t="s">
        <v>26</v>
      </c>
      <c r="B33" s="9" t="s">
        <v>38</v>
      </c>
      <c r="C33" s="9" t="s">
        <v>39</v>
      </c>
      <c r="D33" s="9" t="s">
        <v>13</v>
      </c>
      <c r="E33" s="9" t="s">
        <v>14</v>
      </c>
      <c r="F33" s="9">
        <v>110.0</v>
      </c>
      <c r="G33" s="9" t="s">
        <v>55</v>
      </c>
      <c r="H33" s="9">
        <v>2023.0</v>
      </c>
      <c r="I33" s="9" t="s">
        <v>54</v>
      </c>
      <c r="J33" s="9">
        <v>21.573552304985125</v>
      </c>
      <c r="K33" s="9">
        <v>14.586211483724679</v>
      </c>
      <c r="L33" s="15">
        <v>12.155176236437232</v>
      </c>
    </row>
    <row r="34">
      <c r="A34" s="9" t="s">
        <v>10</v>
      </c>
      <c r="B34" s="9" t="s">
        <v>38</v>
      </c>
      <c r="C34" s="9" t="s">
        <v>40</v>
      </c>
      <c r="D34" s="9" t="s">
        <v>13</v>
      </c>
      <c r="E34" s="9" t="s">
        <v>14</v>
      </c>
      <c r="F34" s="9">
        <v>110.0</v>
      </c>
      <c r="G34" s="9" t="s">
        <v>56</v>
      </c>
      <c r="H34" s="9">
        <v>2022.0</v>
      </c>
      <c r="I34" s="9" t="s">
        <v>51</v>
      </c>
      <c r="J34" s="9">
        <v>11.194077178152938</v>
      </c>
      <c r="K34" s="9">
        <v>7.041240759391692</v>
      </c>
      <c r="L34" s="15">
        <v>5.4368317190886355</v>
      </c>
    </row>
    <row r="35">
      <c r="A35" s="9" t="s">
        <v>10</v>
      </c>
      <c r="B35" s="9" t="s">
        <v>38</v>
      </c>
      <c r="C35" s="9" t="s">
        <v>40</v>
      </c>
      <c r="D35" s="9" t="s">
        <v>13</v>
      </c>
      <c r="E35" s="9" t="s">
        <v>14</v>
      </c>
      <c r="F35" s="9">
        <v>110.0</v>
      </c>
      <c r="G35" s="9" t="s">
        <v>56</v>
      </c>
      <c r="H35" s="9">
        <v>2022.0</v>
      </c>
      <c r="I35" s="9" t="s">
        <v>52</v>
      </c>
      <c r="J35" s="9">
        <v>12.89568487696306</v>
      </c>
      <c r="K35" s="9">
        <v>9.122509160908619</v>
      </c>
      <c r="L35" s="15">
        <v>7.043864690686911</v>
      </c>
    </row>
    <row r="36">
      <c r="A36" s="9" t="s">
        <v>10</v>
      </c>
      <c r="B36" s="9" t="s">
        <v>38</v>
      </c>
      <c r="C36" s="9" t="s">
        <v>40</v>
      </c>
      <c r="D36" s="9" t="s">
        <v>13</v>
      </c>
      <c r="E36" s="9" t="s">
        <v>14</v>
      </c>
      <c r="F36" s="9">
        <v>110.0</v>
      </c>
      <c r="G36" s="9" t="s">
        <v>56</v>
      </c>
      <c r="H36" s="9">
        <v>2022.0</v>
      </c>
      <c r="I36" s="9" t="s">
        <v>53</v>
      </c>
      <c r="J36" s="9">
        <v>11.690200633420233</v>
      </c>
      <c r="K36" s="9">
        <v>7.75579281761829</v>
      </c>
      <c r="L36" s="15">
        <v>5.9885667652059995</v>
      </c>
    </row>
    <row r="37">
      <c r="A37" s="9" t="s">
        <v>10</v>
      </c>
      <c r="B37" s="9" t="s">
        <v>38</v>
      </c>
      <c r="C37" s="9" t="s">
        <v>40</v>
      </c>
      <c r="D37" s="9" t="s">
        <v>13</v>
      </c>
      <c r="E37" s="9" t="s">
        <v>14</v>
      </c>
      <c r="F37" s="9">
        <v>110.0</v>
      </c>
      <c r="G37" s="9" t="s">
        <v>56</v>
      </c>
      <c r="H37" s="9">
        <v>2022.0</v>
      </c>
      <c r="I37" s="9" t="s">
        <v>54</v>
      </c>
      <c r="J37" s="9">
        <v>9.725069877025021</v>
      </c>
      <c r="K37" s="9">
        <v>6.81293063622409</v>
      </c>
      <c r="L37" s="15">
        <v>5.260544078622569</v>
      </c>
    </row>
    <row r="38">
      <c r="A38" s="9" t="s">
        <v>10</v>
      </c>
      <c r="B38" s="9" t="s">
        <v>38</v>
      </c>
      <c r="C38" s="9" t="s">
        <v>40</v>
      </c>
      <c r="D38" s="9" t="s">
        <v>13</v>
      </c>
      <c r="E38" s="9" t="s">
        <v>14</v>
      </c>
      <c r="F38" s="9">
        <v>110.0</v>
      </c>
      <c r="G38" s="9" t="s">
        <v>56</v>
      </c>
      <c r="H38" s="9">
        <v>2023.0</v>
      </c>
      <c r="I38" s="9" t="s">
        <v>51</v>
      </c>
      <c r="J38" s="9">
        <v>9.859289977041357</v>
      </c>
      <c r="K38" s="9">
        <v>7.338016855850834</v>
      </c>
      <c r="L38" s="15">
        <v>5.665984754730008</v>
      </c>
    </row>
    <row r="39">
      <c r="A39" s="9" t="s">
        <v>10</v>
      </c>
      <c r="B39" s="9" t="s">
        <v>38</v>
      </c>
      <c r="C39" s="9" t="s">
        <v>40</v>
      </c>
      <c r="D39" s="9" t="s">
        <v>13</v>
      </c>
      <c r="E39" s="9" t="s">
        <v>14</v>
      </c>
      <c r="F39" s="9">
        <v>110.0</v>
      </c>
      <c r="G39" s="9" t="s">
        <v>56</v>
      </c>
      <c r="H39" s="9">
        <v>2023.0</v>
      </c>
      <c r="I39" s="9" t="s">
        <v>52</v>
      </c>
      <c r="J39" s="9">
        <v>9.330161353273326</v>
      </c>
      <c r="K39" s="9">
        <v>5.654847026751906</v>
      </c>
      <c r="L39" s="15">
        <v>4.366340071617563</v>
      </c>
    </row>
    <row r="40">
      <c r="A40" s="9" t="s">
        <v>10</v>
      </c>
      <c r="B40" s="9" t="s">
        <v>38</v>
      </c>
      <c r="C40" s="9" t="s">
        <v>40</v>
      </c>
      <c r="D40" s="9" t="s">
        <v>13</v>
      </c>
      <c r="E40" s="9" t="s">
        <v>14</v>
      </c>
      <c r="F40" s="9">
        <v>110.0</v>
      </c>
      <c r="G40" s="9" t="s">
        <v>56</v>
      </c>
      <c r="H40" s="9">
        <v>2023.0</v>
      </c>
      <c r="I40" s="9" t="s">
        <v>53</v>
      </c>
      <c r="J40" s="9">
        <v>9.310875232862685</v>
      </c>
      <c r="K40" s="9">
        <v>5.983540222833042</v>
      </c>
      <c r="L40" s="15">
        <v>4.6201376131827985</v>
      </c>
    </row>
    <row r="41">
      <c r="A41" s="9" t="s">
        <v>10</v>
      </c>
      <c r="B41" s="9" t="s">
        <v>38</v>
      </c>
      <c r="C41" s="9" t="s">
        <v>40</v>
      </c>
      <c r="D41" s="9" t="s">
        <v>13</v>
      </c>
      <c r="E41" s="9" t="s">
        <v>14</v>
      </c>
      <c r="F41" s="9">
        <v>110.0</v>
      </c>
      <c r="G41" s="9" t="s">
        <v>56</v>
      </c>
      <c r="H41" s="9">
        <v>2023.0</v>
      </c>
      <c r="I41" s="9" t="s">
        <v>54</v>
      </c>
      <c r="J41" s="9">
        <v>9.607691929651999</v>
      </c>
      <c r="K41" s="9">
        <v>6.594174846345428</v>
      </c>
      <c r="L41" s="15">
        <v>5.091633732024885</v>
      </c>
    </row>
    <row r="42">
      <c r="A42" s="9" t="s">
        <v>24</v>
      </c>
      <c r="B42" s="9" t="s">
        <v>38</v>
      </c>
      <c r="C42" s="9" t="s">
        <v>40</v>
      </c>
      <c r="D42" s="9" t="s">
        <v>13</v>
      </c>
      <c r="E42" s="9" t="s">
        <v>14</v>
      </c>
      <c r="F42" s="9">
        <v>110.0</v>
      </c>
      <c r="G42" s="9" t="s">
        <v>56</v>
      </c>
      <c r="H42" s="9">
        <v>2022.0</v>
      </c>
      <c r="I42" s="9" t="s">
        <v>51</v>
      </c>
      <c r="J42" s="9">
        <v>16.000919533594768</v>
      </c>
      <c r="K42" s="9">
        <v>11.694074809645473</v>
      </c>
      <c r="L42" s="15">
        <v>9.029476341321498</v>
      </c>
    </row>
    <row r="43">
      <c r="A43" s="9" t="s">
        <v>24</v>
      </c>
      <c r="B43" s="9" t="s">
        <v>38</v>
      </c>
      <c r="C43" s="9" t="s">
        <v>40</v>
      </c>
      <c r="D43" s="9" t="s">
        <v>13</v>
      </c>
      <c r="E43" s="9" t="s">
        <v>14</v>
      </c>
      <c r="F43" s="9">
        <v>110.0</v>
      </c>
      <c r="G43" s="9" t="s">
        <v>56</v>
      </c>
      <c r="H43" s="9">
        <v>2022.0</v>
      </c>
      <c r="I43" s="9" t="s">
        <v>52</v>
      </c>
      <c r="J43" s="9">
        <v>20.787690787596382</v>
      </c>
      <c r="K43" s="9">
        <v>13.056993005216587</v>
      </c>
      <c r="L43" s="15">
        <v>10.081841560664495</v>
      </c>
    </row>
    <row r="44">
      <c r="A44" s="9" t="s">
        <v>24</v>
      </c>
      <c r="B44" s="9" t="s">
        <v>38</v>
      </c>
      <c r="C44" s="9" t="s">
        <v>40</v>
      </c>
      <c r="D44" s="9" t="s">
        <v>13</v>
      </c>
      <c r="E44" s="9" t="s">
        <v>14</v>
      </c>
      <c r="F44" s="9">
        <v>110.0</v>
      </c>
      <c r="G44" s="9" t="s">
        <v>56</v>
      </c>
      <c r="H44" s="9">
        <v>2022.0</v>
      </c>
      <c r="I44" s="9" t="s">
        <v>53</v>
      </c>
      <c r="J44" s="9">
        <v>21.22252841137726</v>
      </c>
      <c r="K44" s="9">
        <v>13.257008489325614</v>
      </c>
      <c r="L44" s="15">
        <v>10.236281746062554</v>
      </c>
    </row>
    <row r="45">
      <c r="A45" s="9" t="s">
        <v>24</v>
      </c>
      <c r="B45" s="9" t="s">
        <v>38</v>
      </c>
      <c r="C45" s="9" t="s">
        <v>40</v>
      </c>
      <c r="D45" s="9" t="s">
        <v>13</v>
      </c>
      <c r="E45" s="9" t="s">
        <v>14</v>
      </c>
      <c r="F45" s="9">
        <v>110.0</v>
      </c>
      <c r="G45" s="9" t="s">
        <v>56</v>
      </c>
      <c r="H45" s="9">
        <v>2022.0</v>
      </c>
      <c r="I45" s="9" t="s">
        <v>54</v>
      </c>
      <c r="J45" s="9">
        <v>22.082737676303825</v>
      </c>
      <c r="K45" s="9">
        <v>15.192486211884654</v>
      </c>
      <c r="L45" s="15">
        <v>11.730743735529808</v>
      </c>
    </row>
    <row r="46">
      <c r="A46" s="9" t="s">
        <v>24</v>
      </c>
      <c r="B46" s="9" t="s">
        <v>38</v>
      </c>
      <c r="C46" s="9" t="s">
        <v>40</v>
      </c>
      <c r="D46" s="9" t="s">
        <v>13</v>
      </c>
      <c r="E46" s="9" t="s">
        <v>14</v>
      </c>
      <c r="F46" s="9">
        <v>110.0</v>
      </c>
      <c r="G46" s="9" t="s">
        <v>56</v>
      </c>
      <c r="H46" s="9">
        <v>2023.0</v>
      </c>
      <c r="I46" s="9" t="s">
        <v>51</v>
      </c>
      <c r="J46" s="9">
        <v>19.98143025574325</v>
      </c>
      <c r="K46" s="9">
        <v>13.177179856986944</v>
      </c>
      <c r="L46" s="15">
        <v>10.174642774293062</v>
      </c>
    </row>
    <row r="47">
      <c r="A47" s="9" t="s">
        <v>24</v>
      </c>
      <c r="B47" s="9" t="s">
        <v>38</v>
      </c>
      <c r="C47" s="9" t="s">
        <v>40</v>
      </c>
      <c r="D47" s="9" t="s">
        <v>13</v>
      </c>
      <c r="E47" s="9" t="s">
        <v>14</v>
      </c>
      <c r="F47" s="9">
        <v>110.0</v>
      </c>
      <c r="G47" s="9" t="s">
        <v>56</v>
      </c>
      <c r="H47" s="9">
        <v>2023.0</v>
      </c>
      <c r="I47" s="9" t="s">
        <v>52</v>
      </c>
      <c r="J47" s="9">
        <v>13.284677504844854</v>
      </c>
      <c r="K47" s="9">
        <v>9.253069636861428</v>
      </c>
      <c r="L47" s="15">
        <v>7.144675806394431</v>
      </c>
    </row>
    <row r="48">
      <c r="A48" s="9" t="s">
        <v>24</v>
      </c>
      <c r="B48" s="9" t="s">
        <v>38</v>
      </c>
      <c r="C48" s="9" t="s">
        <v>40</v>
      </c>
      <c r="D48" s="9" t="s">
        <v>13</v>
      </c>
      <c r="E48" s="9" t="s">
        <v>14</v>
      </c>
      <c r="F48" s="9">
        <v>110.0</v>
      </c>
      <c r="G48" s="9" t="s">
        <v>56</v>
      </c>
      <c r="H48" s="9">
        <v>2023.0</v>
      </c>
      <c r="I48" s="9" t="s">
        <v>53</v>
      </c>
      <c r="J48" s="9">
        <v>12.949439121084625</v>
      </c>
      <c r="K48" s="9">
        <v>8.273543261947584</v>
      </c>
      <c r="L48" s="15">
        <v>6.388343187358184</v>
      </c>
    </row>
    <row r="49">
      <c r="A49" s="9" t="s">
        <v>24</v>
      </c>
      <c r="B49" s="9" t="s">
        <v>38</v>
      </c>
      <c r="C49" s="9" t="s">
        <v>40</v>
      </c>
      <c r="D49" s="9" t="s">
        <v>13</v>
      </c>
      <c r="E49" s="9" t="s">
        <v>14</v>
      </c>
      <c r="F49" s="9">
        <v>110.0</v>
      </c>
      <c r="G49" s="9" t="s">
        <v>56</v>
      </c>
      <c r="H49" s="9">
        <v>2023.0</v>
      </c>
      <c r="I49" s="9" t="s">
        <v>54</v>
      </c>
      <c r="J49" s="9">
        <v>10.065587414794528</v>
      </c>
      <c r="K49" s="9">
        <v>6.545838366967951</v>
      </c>
      <c r="L49" s="15">
        <v>5.054311147376999</v>
      </c>
    </row>
    <row r="50">
      <c r="A50" s="9" t="s">
        <v>25</v>
      </c>
      <c r="B50" s="9" t="s">
        <v>38</v>
      </c>
      <c r="C50" s="9" t="s">
        <v>40</v>
      </c>
      <c r="D50" s="9" t="s">
        <v>13</v>
      </c>
      <c r="E50" s="9" t="s">
        <v>14</v>
      </c>
      <c r="F50" s="9">
        <v>110.0</v>
      </c>
      <c r="G50" s="9" t="s">
        <v>56</v>
      </c>
      <c r="H50" s="9">
        <v>2022.0</v>
      </c>
      <c r="I50" s="9" t="s">
        <v>51</v>
      </c>
      <c r="J50" s="9">
        <v>13.021892367106343</v>
      </c>
      <c r="K50" s="9">
        <v>9.008769241401247</v>
      </c>
      <c r="L50" s="15">
        <v>6.956041418733107</v>
      </c>
    </row>
    <row r="51">
      <c r="A51" s="9" t="s">
        <v>25</v>
      </c>
      <c r="B51" s="9" t="s">
        <v>38</v>
      </c>
      <c r="C51" s="9" t="s">
        <v>40</v>
      </c>
      <c r="D51" s="9" t="s">
        <v>13</v>
      </c>
      <c r="E51" s="9" t="s">
        <v>14</v>
      </c>
      <c r="F51" s="9">
        <v>110.0</v>
      </c>
      <c r="G51" s="9" t="s">
        <v>56</v>
      </c>
      <c r="H51" s="9">
        <v>2022.0</v>
      </c>
      <c r="I51" s="9" t="s">
        <v>52</v>
      </c>
      <c r="J51" s="9">
        <v>19.62251482107902</v>
      </c>
      <c r="K51" s="9">
        <v>13.432076525702069</v>
      </c>
      <c r="L51" s="15">
        <v>10.371458980543641</v>
      </c>
    </row>
    <row r="52">
      <c r="A52" s="9" t="s">
        <v>25</v>
      </c>
      <c r="B52" s="9" t="s">
        <v>38</v>
      </c>
      <c r="C52" s="9" t="s">
        <v>40</v>
      </c>
      <c r="D52" s="9" t="s">
        <v>13</v>
      </c>
      <c r="E52" s="9" t="s">
        <v>14</v>
      </c>
      <c r="F52" s="9">
        <v>110.0</v>
      </c>
      <c r="G52" s="9" t="s">
        <v>56</v>
      </c>
      <c r="H52" s="9">
        <v>2022.0</v>
      </c>
      <c r="I52" s="9" t="s">
        <v>53</v>
      </c>
      <c r="J52" s="9">
        <v>18.7706328058496</v>
      </c>
      <c r="K52" s="9">
        <v>13.814384380293859</v>
      </c>
      <c r="L52" s="15">
        <v>10.666654606048846</v>
      </c>
    </row>
    <row r="53">
      <c r="A53" s="9" t="s">
        <v>25</v>
      </c>
      <c r="B53" s="9" t="s">
        <v>38</v>
      </c>
      <c r="C53" s="9" t="s">
        <v>40</v>
      </c>
      <c r="D53" s="9" t="s">
        <v>13</v>
      </c>
      <c r="E53" s="9" t="s">
        <v>14</v>
      </c>
      <c r="F53" s="9">
        <v>110.0</v>
      </c>
      <c r="G53" s="9" t="s">
        <v>56</v>
      </c>
      <c r="H53" s="9">
        <v>2022.0</v>
      </c>
      <c r="I53" s="9" t="s">
        <v>54</v>
      </c>
      <c r="J53" s="9">
        <v>16.374878272953847</v>
      </c>
      <c r="K53" s="9">
        <v>11.090400344711973</v>
      </c>
      <c r="L53" s="15">
        <v>8.563354447310612</v>
      </c>
    </row>
    <row r="54">
      <c r="A54" s="9" t="s">
        <v>25</v>
      </c>
      <c r="B54" s="9" t="s">
        <v>38</v>
      </c>
      <c r="C54" s="9" t="s">
        <v>40</v>
      </c>
      <c r="D54" s="9" t="s">
        <v>13</v>
      </c>
      <c r="E54" s="9" t="s">
        <v>14</v>
      </c>
      <c r="F54" s="9">
        <v>110.0</v>
      </c>
      <c r="G54" s="9" t="s">
        <v>56</v>
      </c>
      <c r="H54" s="9">
        <v>2023.0</v>
      </c>
      <c r="I54" s="9" t="s">
        <v>51</v>
      </c>
      <c r="J54" s="9">
        <v>17.198731258891552</v>
      </c>
      <c r="K54" s="9">
        <v>11.654413491890637</v>
      </c>
      <c r="L54" s="15">
        <v>8.998852205922814</v>
      </c>
    </row>
    <row r="55">
      <c r="A55" s="9" t="s">
        <v>25</v>
      </c>
      <c r="B55" s="9" t="s">
        <v>38</v>
      </c>
      <c r="C55" s="9" t="s">
        <v>40</v>
      </c>
      <c r="D55" s="9" t="s">
        <v>13</v>
      </c>
      <c r="E55" s="9" t="s">
        <v>14</v>
      </c>
      <c r="F55" s="9">
        <v>110.0</v>
      </c>
      <c r="G55" s="9" t="s">
        <v>56</v>
      </c>
      <c r="H55" s="9">
        <v>2023.0</v>
      </c>
      <c r="I55" s="9" t="s">
        <v>52</v>
      </c>
      <c r="J55" s="9">
        <v>12.470253233241344</v>
      </c>
      <c r="K55" s="9">
        <v>8.406722180082438</v>
      </c>
      <c r="L55" s="15">
        <v>6.4911761100165535</v>
      </c>
    </row>
    <row r="56">
      <c r="A56" s="9" t="s">
        <v>25</v>
      </c>
      <c r="B56" s="9" t="s">
        <v>38</v>
      </c>
      <c r="C56" s="9" t="s">
        <v>40</v>
      </c>
      <c r="D56" s="9" t="s">
        <v>13</v>
      </c>
      <c r="E56" s="9" t="s">
        <v>14</v>
      </c>
      <c r="F56" s="9">
        <v>110.0</v>
      </c>
      <c r="G56" s="9" t="s">
        <v>56</v>
      </c>
      <c r="H56" s="9">
        <v>2023.0</v>
      </c>
      <c r="I56" s="9" t="s">
        <v>53</v>
      </c>
      <c r="J56" s="9">
        <v>11.938331842439467</v>
      </c>
      <c r="K56" s="9">
        <v>7.588027167756842</v>
      </c>
      <c r="L56" s="15">
        <v>5.859028003827381</v>
      </c>
    </row>
    <row r="57">
      <c r="A57" s="9" t="s">
        <v>25</v>
      </c>
      <c r="B57" s="9" t="s">
        <v>38</v>
      </c>
      <c r="C57" s="9" t="s">
        <v>40</v>
      </c>
      <c r="D57" s="9" t="s">
        <v>13</v>
      </c>
      <c r="E57" s="9" t="s">
        <v>14</v>
      </c>
      <c r="F57" s="9">
        <v>110.0</v>
      </c>
      <c r="G57" s="9" t="s">
        <v>56</v>
      </c>
      <c r="H57" s="9">
        <v>2023.0</v>
      </c>
      <c r="I57" s="9" t="s">
        <v>54</v>
      </c>
      <c r="J57" s="9">
        <v>9.582184297266844</v>
      </c>
      <c r="K57" s="9">
        <v>6.9720555695863125</v>
      </c>
      <c r="L57" s="15">
        <v>5.3834109872491025</v>
      </c>
    </row>
    <row r="58">
      <c r="A58" s="9" t="s">
        <v>26</v>
      </c>
      <c r="B58" s="9" t="s">
        <v>38</v>
      </c>
      <c r="C58" s="9" t="s">
        <v>40</v>
      </c>
      <c r="D58" s="9" t="s">
        <v>13</v>
      </c>
      <c r="E58" s="9" t="s">
        <v>14</v>
      </c>
      <c r="F58" s="9">
        <v>110.0</v>
      </c>
      <c r="G58" s="9" t="s">
        <v>56</v>
      </c>
      <c r="H58" s="9">
        <v>2022.0</v>
      </c>
      <c r="I58" s="9" t="s">
        <v>51</v>
      </c>
      <c r="J58" s="9">
        <v>57.68757322343078</v>
      </c>
      <c r="K58" s="9">
        <v>39.47072245669737</v>
      </c>
      <c r="L58" s="15">
        <v>30.47696892649013</v>
      </c>
    </row>
    <row r="59">
      <c r="A59" s="9" t="s">
        <v>26</v>
      </c>
      <c r="B59" s="9" t="s">
        <v>38</v>
      </c>
      <c r="C59" s="9" t="s">
        <v>40</v>
      </c>
      <c r="D59" s="9" t="s">
        <v>13</v>
      </c>
      <c r="E59" s="9" t="s">
        <v>14</v>
      </c>
      <c r="F59" s="9">
        <v>110.0</v>
      </c>
      <c r="G59" s="9" t="s">
        <v>56</v>
      </c>
      <c r="H59" s="9">
        <v>2022.0</v>
      </c>
      <c r="I59" s="9" t="s">
        <v>52</v>
      </c>
      <c r="J59" s="9">
        <v>55.28976835972381</v>
      </c>
      <c r="K59" s="9">
        <v>33.2034138346297</v>
      </c>
      <c r="L59" s="15">
        <v>25.637722055925952</v>
      </c>
    </row>
    <row r="60">
      <c r="A60" s="9" t="s">
        <v>26</v>
      </c>
      <c r="B60" s="9" t="s">
        <v>38</v>
      </c>
      <c r="C60" s="9" t="s">
        <v>40</v>
      </c>
      <c r="D60" s="9" t="s">
        <v>13</v>
      </c>
      <c r="E60" s="9" t="s">
        <v>14</v>
      </c>
      <c r="F60" s="9">
        <v>110.0</v>
      </c>
      <c r="G60" s="9" t="s">
        <v>56</v>
      </c>
      <c r="H60" s="9">
        <v>2022.0</v>
      </c>
      <c r="I60" s="9" t="s">
        <v>53</v>
      </c>
      <c r="J60" s="9">
        <v>51.46007458873964</v>
      </c>
      <c r="K60" s="9">
        <v>37.68820835103248</v>
      </c>
      <c r="L60" s="15">
        <v>29.10061643968225</v>
      </c>
    </row>
    <row r="61">
      <c r="A61" s="9" t="s">
        <v>26</v>
      </c>
      <c r="B61" s="9" t="s">
        <v>38</v>
      </c>
      <c r="C61" s="9" t="s">
        <v>40</v>
      </c>
      <c r="D61" s="9" t="s">
        <v>13</v>
      </c>
      <c r="E61" s="9" t="s">
        <v>14</v>
      </c>
      <c r="F61" s="9">
        <v>110.0</v>
      </c>
      <c r="G61" s="9" t="s">
        <v>56</v>
      </c>
      <c r="H61" s="9">
        <v>2022.0</v>
      </c>
      <c r="I61" s="9" t="s">
        <v>54</v>
      </c>
      <c r="J61" s="9">
        <v>46.017952820116506</v>
      </c>
      <c r="K61" s="9">
        <v>32.16488833756265</v>
      </c>
      <c r="L61" s="15">
        <v>24.835833787014632</v>
      </c>
    </row>
    <row r="62">
      <c r="A62" s="9" t="s">
        <v>26</v>
      </c>
      <c r="B62" s="9" t="s">
        <v>38</v>
      </c>
      <c r="C62" s="9" t="s">
        <v>40</v>
      </c>
      <c r="D62" s="9" t="s">
        <v>13</v>
      </c>
      <c r="E62" s="9" t="s">
        <v>14</v>
      </c>
      <c r="F62" s="9">
        <v>110.0</v>
      </c>
      <c r="G62" s="9" t="s">
        <v>56</v>
      </c>
      <c r="H62" s="9">
        <v>2023.0</v>
      </c>
      <c r="I62" s="9" t="s">
        <v>51</v>
      </c>
      <c r="J62" s="9">
        <v>44.961129229893864</v>
      </c>
      <c r="K62" s="9">
        <v>27.838898851753697</v>
      </c>
      <c r="L62" s="15">
        <v>21.495559301794223</v>
      </c>
    </row>
    <row r="63">
      <c r="A63" s="9" t="s">
        <v>26</v>
      </c>
      <c r="B63" s="9" t="s">
        <v>38</v>
      </c>
      <c r="C63" s="9" t="s">
        <v>40</v>
      </c>
      <c r="D63" s="9" t="s">
        <v>13</v>
      </c>
      <c r="E63" s="9" t="s">
        <v>14</v>
      </c>
      <c r="F63" s="9">
        <v>110.0</v>
      </c>
      <c r="G63" s="9" t="s">
        <v>56</v>
      </c>
      <c r="H63" s="9">
        <v>2023.0</v>
      </c>
      <c r="I63" s="9" t="s">
        <v>52</v>
      </c>
      <c r="J63" s="9">
        <v>42.17278799800832</v>
      </c>
      <c r="K63" s="9">
        <v>29.101376620417206</v>
      </c>
      <c r="L63" s="15">
        <v>22.470370334659258</v>
      </c>
    </row>
    <row r="64">
      <c r="A64" s="9" t="s">
        <v>26</v>
      </c>
      <c r="B64" s="9" t="s">
        <v>38</v>
      </c>
      <c r="C64" s="9" t="s">
        <v>40</v>
      </c>
      <c r="D64" s="9" t="s">
        <v>13</v>
      </c>
      <c r="E64" s="9" t="s">
        <v>14</v>
      </c>
      <c r="F64" s="9">
        <v>110.0</v>
      </c>
      <c r="G64" s="9" t="s">
        <v>56</v>
      </c>
      <c r="H64" s="9">
        <v>2023.0</v>
      </c>
      <c r="I64" s="9" t="s">
        <v>53</v>
      </c>
      <c r="J64" s="9">
        <v>38.533407594411116</v>
      </c>
      <c r="K64" s="9">
        <v>25.43629595565172</v>
      </c>
      <c r="L64" s="15">
        <v>19.640410744847284</v>
      </c>
    </row>
    <row r="65">
      <c r="A65" s="9" t="s">
        <v>26</v>
      </c>
      <c r="B65" s="9" t="s">
        <v>38</v>
      </c>
      <c r="C65" s="9" t="s">
        <v>40</v>
      </c>
      <c r="D65" s="9" t="s">
        <v>13</v>
      </c>
      <c r="E65" s="9" t="s">
        <v>14</v>
      </c>
      <c r="F65" s="9">
        <v>110.0</v>
      </c>
      <c r="G65" s="9" t="s">
        <v>56</v>
      </c>
      <c r="H65" s="9">
        <v>2023.0</v>
      </c>
      <c r="I65" s="9" t="s">
        <v>54</v>
      </c>
      <c r="J65" s="9">
        <v>34.97948168882406</v>
      </c>
      <c r="K65" s="9">
        <v>25.725304106068638</v>
      </c>
      <c r="L65" s="15">
        <v>19.86356582971866</v>
      </c>
    </row>
    <row r="66">
      <c r="A66" s="9" t="s">
        <v>10</v>
      </c>
      <c r="B66" s="9" t="s">
        <v>38</v>
      </c>
      <c r="C66" s="9" t="s">
        <v>39</v>
      </c>
      <c r="D66" s="9" t="s">
        <v>13</v>
      </c>
      <c r="E66" s="9" t="s">
        <v>14</v>
      </c>
      <c r="F66" s="9">
        <v>170.0</v>
      </c>
      <c r="G66" s="9" t="s">
        <v>57</v>
      </c>
      <c r="H66" s="9">
        <v>2022.0</v>
      </c>
      <c r="I66" s="9" t="s">
        <v>51</v>
      </c>
      <c r="J66" s="9">
        <v>24.755348968786024</v>
      </c>
      <c r="K66" s="9">
        <v>18.528919796517016</v>
      </c>
      <c r="L66" s="15">
        <v>11.86382366277181</v>
      </c>
    </row>
    <row r="67">
      <c r="A67" s="9" t="s">
        <v>10</v>
      </c>
      <c r="B67" s="9" t="s">
        <v>38</v>
      </c>
      <c r="C67" s="9" t="s">
        <v>39</v>
      </c>
      <c r="D67" s="9" t="s">
        <v>13</v>
      </c>
      <c r="E67" s="9" t="s">
        <v>14</v>
      </c>
      <c r="F67" s="9">
        <v>170.0</v>
      </c>
      <c r="G67" s="9" t="s">
        <v>57</v>
      </c>
      <c r="H67" s="9">
        <v>2022.0</v>
      </c>
      <c r="I67" s="9" t="s">
        <v>52</v>
      </c>
      <c r="J67" s="9">
        <v>21.742090367435168</v>
      </c>
      <c r="K67" s="9">
        <v>15.296769345859161</v>
      </c>
      <c r="L67" s="15">
        <v>9.794320236815958</v>
      </c>
    </row>
    <row r="68">
      <c r="A68" s="9" t="s">
        <v>10</v>
      </c>
      <c r="B68" s="9" t="s">
        <v>38</v>
      </c>
      <c r="C68" s="9" t="s">
        <v>39</v>
      </c>
      <c r="D68" s="9" t="s">
        <v>13</v>
      </c>
      <c r="E68" s="9" t="s">
        <v>14</v>
      </c>
      <c r="F68" s="9">
        <v>170.0</v>
      </c>
      <c r="G68" s="9" t="s">
        <v>57</v>
      </c>
      <c r="H68" s="9">
        <v>2022.0</v>
      </c>
      <c r="I68" s="9" t="s">
        <v>53</v>
      </c>
      <c r="J68" s="9">
        <v>24.20878995321081</v>
      </c>
      <c r="K68" s="9">
        <v>15.197884114854244</v>
      </c>
      <c r="L68" s="15">
        <v>9.73100532389182</v>
      </c>
    </row>
    <row r="69">
      <c r="A69" s="9" t="s">
        <v>10</v>
      </c>
      <c r="B69" s="9" t="s">
        <v>38</v>
      </c>
      <c r="C69" s="9" t="s">
        <v>39</v>
      </c>
      <c r="D69" s="9" t="s">
        <v>13</v>
      </c>
      <c r="E69" s="9" t="s">
        <v>14</v>
      </c>
      <c r="F69" s="9">
        <v>170.0</v>
      </c>
      <c r="G69" s="9" t="s">
        <v>57</v>
      </c>
      <c r="H69" s="9">
        <v>2022.0</v>
      </c>
      <c r="I69" s="9" t="s">
        <v>54</v>
      </c>
      <c r="J69" s="9">
        <v>26.150978993231888</v>
      </c>
      <c r="K69" s="9">
        <v>16.115244173402726</v>
      </c>
      <c r="L69" s="15">
        <v>10.318378904727062</v>
      </c>
    </row>
    <row r="70">
      <c r="A70" s="9" t="s">
        <v>10</v>
      </c>
      <c r="B70" s="9" t="s">
        <v>38</v>
      </c>
      <c r="C70" s="9" t="s">
        <v>39</v>
      </c>
      <c r="D70" s="9" t="s">
        <v>13</v>
      </c>
      <c r="E70" s="9" t="s">
        <v>14</v>
      </c>
      <c r="F70" s="9">
        <v>170.0</v>
      </c>
      <c r="G70" s="9" t="s">
        <v>57</v>
      </c>
      <c r="H70" s="9">
        <v>2023.0</v>
      </c>
      <c r="I70" s="9" t="s">
        <v>51</v>
      </c>
      <c r="J70" s="9">
        <v>24.683059562295</v>
      </c>
      <c r="K70" s="9">
        <v>15.620336041101906</v>
      </c>
      <c r="L70" s="15">
        <v>10.001495736395125</v>
      </c>
    </row>
    <row r="71">
      <c r="A71" s="9" t="s">
        <v>10</v>
      </c>
      <c r="B71" s="9" t="s">
        <v>38</v>
      </c>
      <c r="C71" s="9" t="s">
        <v>39</v>
      </c>
      <c r="D71" s="9" t="s">
        <v>13</v>
      </c>
      <c r="E71" s="9" t="s">
        <v>14</v>
      </c>
      <c r="F71" s="9">
        <v>170.0</v>
      </c>
      <c r="G71" s="9" t="s">
        <v>57</v>
      </c>
      <c r="H71" s="9">
        <v>2023.0</v>
      </c>
      <c r="I71" s="9" t="s">
        <v>52</v>
      </c>
      <c r="J71" s="9">
        <v>21.31633676215796</v>
      </c>
      <c r="K71" s="9">
        <v>15.43431611176257</v>
      </c>
      <c r="L71" s="15">
        <v>9.882389622078737</v>
      </c>
    </row>
    <row r="72">
      <c r="A72" s="9" t="s">
        <v>10</v>
      </c>
      <c r="B72" s="9" t="s">
        <v>38</v>
      </c>
      <c r="C72" s="9" t="s">
        <v>39</v>
      </c>
      <c r="D72" s="9" t="s">
        <v>13</v>
      </c>
      <c r="E72" s="9" t="s">
        <v>14</v>
      </c>
      <c r="F72" s="9">
        <v>170.0</v>
      </c>
      <c r="G72" s="9" t="s">
        <v>57</v>
      </c>
      <c r="H72" s="9">
        <v>2023.0</v>
      </c>
      <c r="I72" s="9" t="s">
        <v>53</v>
      </c>
      <c r="J72" s="9">
        <v>23.31805721385814</v>
      </c>
      <c r="K72" s="9">
        <v>16.318175597590642</v>
      </c>
      <c r="L72" s="15">
        <v>10.44831322678361</v>
      </c>
    </row>
    <row r="73">
      <c r="A73" s="9" t="s">
        <v>10</v>
      </c>
      <c r="B73" s="9" t="s">
        <v>38</v>
      </c>
      <c r="C73" s="9" t="s">
        <v>39</v>
      </c>
      <c r="D73" s="9" t="s">
        <v>13</v>
      </c>
      <c r="E73" s="9" t="s">
        <v>14</v>
      </c>
      <c r="F73" s="9">
        <v>170.0</v>
      </c>
      <c r="G73" s="9" t="s">
        <v>57</v>
      </c>
      <c r="H73" s="9">
        <v>2023.0</v>
      </c>
      <c r="I73" s="9" t="s">
        <v>54</v>
      </c>
      <c r="J73" s="9">
        <v>22.004580308868526</v>
      </c>
      <c r="K73" s="9">
        <v>13.857009664457147</v>
      </c>
      <c r="L73" s="15">
        <v>8.87246104780199</v>
      </c>
    </row>
    <row r="74">
      <c r="A74" s="9" t="s">
        <v>24</v>
      </c>
      <c r="B74" s="9" t="s">
        <v>38</v>
      </c>
      <c r="C74" s="9" t="s">
        <v>39</v>
      </c>
      <c r="D74" s="9" t="s">
        <v>13</v>
      </c>
      <c r="E74" s="9" t="s">
        <v>14</v>
      </c>
      <c r="F74" s="9">
        <v>170.0</v>
      </c>
      <c r="G74" s="9" t="s">
        <v>57</v>
      </c>
      <c r="H74" s="9">
        <v>2022.0</v>
      </c>
      <c r="I74" s="9" t="s">
        <v>51</v>
      </c>
      <c r="J74" s="9">
        <v>42.84924966558003</v>
      </c>
      <c r="K74" s="9">
        <v>28.156108714616032</v>
      </c>
      <c r="L74" s="15">
        <v>18.02798611513384</v>
      </c>
    </row>
    <row r="75">
      <c r="A75" s="9" t="s">
        <v>24</v>
      </c>
      <c r="B75" s="9" t="s">
        <v>38</v>
      </c>
      <c r="C75" s="9" t="s">
        <v>39</v>
      </c>
      <c r="D75" s="9" t="s">
        <v>13</v>
      </c>
      <c r="E75" s="9" t="s">
        <v>14</v>
      </c>
      <c r="F75" s="9">
        <v>170.0</v>
      </c>
      <c r="G75" s="9" t="s">
        <v>57</v>
      </c>
      <c r="H75" s="9">
        <v>2022.0</v>
      </c>
      <c r="I75" s="9" t="s">
        <v>52</v>
      </c>
      <c r="J75" s="9">
        <v>38.27789831879527</v>
      </c>
      <c r="K75" s="9">
        <v>26.322666593012354</v>
      </c>
      <c r="L75" s="15">
        <v>16.85405723717016</v>
      </c>
    </row>
    <row r="76">
      <c r="A76" s="9" t="s">
        <v>24</v>
      </c>
      <c r="B76" s="9" t="s">
        <v>38</v>
      </c>
      <c r="C76" s="9" t="s">
        <v>39</v>
      </c>
      <c r="D76" s="9" t="s">
        <v>13</v>
      </c>
      <c r="E76" s="9" t="s">
        <v>14</v>
      </c>
      <c r="F76" s="9">
        <v>170.0</v>
      </c>
      <c r="G76" s="9" t="s">
        <v>57</v>
      </c>
      <c r="H76" s="9">
        <v>2022.0</v>
      </c>
      <c r="I76" s="9" t="s">
        <v>53</v>
      </c>
      <c r="J76" s="9">
        <v>42.27403198008802</v>
      </c>
      <c r="K76" s="9">
        <v>26.88529996062268</v>
      </c>
      <c r="L76" s="15">
        <v>17.21430398298289</v>
      </c>
    </row>
    <row r="77">
      <c r="A77" s="9" t="s">
        <v>24</v>
      </c>
      <c r="B77" s="9" t="s">
        <v>38</v>
      </c>
      <c r="C77" s="9" t="s">
        <v>39</v>
      </c>
      <c r="D77" s="9" t="s">
        <v>13</v>
      </c>
      <c r="E77" s="9" t="s">
        <v>14</v>
      </c>
      <c r="F77" s="9">
        <v>170.0</v>
      </c>
      <c r="G77" s="9" t="s">
        <v>57</v>
      </c>
      <c r="H77" s="9">
        <v>2022.0</v>
      </c>
      <c r="I77" s="9" t="s">
        <v>54</v>
      </c>
      <c r="J77" s="9">
        <v>42.108975869252994</v>
      </c>
      <c r="K77" s="9">
        <v>29.53110309196811</v>
      </c>
      <c r="L77" s="15">
        <v>18.908376931725</v>
      </c>
    </row>
    <row r="78">
      <c r="A78" s="9" t="s">
        <v>24</v>
      </c>
      <c r="B78" s="9" t="s">
        <v>38</v>
      </c>
      <c r="C78" s="9" t="s">
        <v>39</v>
      </c>
      <c r="D78" s="9" t="s">
        <v>13</v>
      </c>
      <c r="E78" s="9" t="s">
        <v>14</v>
      </c>
      <c r="F78" s="9">
        <v>170.0</v>
      </c>
      <c r="G78" s="9" t="s">
        <v>57</v>
      </c>
      <c r="H78" s="9">
        <v>2023.0</v>
      </c>
      <c r="I78" s="9" t="s">
        <v>51</v>
      </c>
      <c r="J78" s="9">
        <v>44.996203498261615</v>
      </c>
      <c r="K78" s="9">
        <v>32.659218277661665</v>
      </c>
      <c r="L78" s="15">
        <v>20.91126794574316</v>
      </c>
    </row>
    <row r="79">
      <c r="A79" s="9" t="s">
        <v>24</v>
      </c>
      <c r="B79" s="9" t="s">
        <v>38</v>
      </c>
      <c r="C79" s="9" t="s">
        <v>39</v>
      </c>
      <c r="D79" s="9" t="s">
        <v>13</v>
      </c>
      <c r="E79" s="9" t="s">
        <v>14</v>
      </c>
      <c r="F79" s="9">
        <v>170.0</v>
      </c>
      <c r="G79" s="9" t="s">
        <v>57</v>
      </c>
      <c r="H79" s="9">
        <v>2023.0</v>
      </c>
      <c r="I79" s="9" t="s">
        <v>52</v>
      </c>
      <c r="J79" s="9">
        <v>41.98181283701869</v>
      </c>
      <c r="K79" s="9">
        <v>29.735058453865534</v>
      </c>
      <c r="L79" s="15">
        <v>19.038966867630638</v>
      </c>
    </row>
    <row r="80">
      <c r="A80" s="9" t="s">
        <v>24</v>
      </c>
      <c r="B80" s="9" t="s">
        <v>38</v>
      </c>
      <c r="C80" s="9" t="s">
        <v>39</v>
      </c>
      <c r="D80" s="9" t="s">
        <v>13</v>
      </c>
      <c r="E80" s="9" t="s">
        <v>14</v>
      </c>
      <c r="F80" s="9">
        <v>170.0</v>
      </c>
      <c r="G80" s="9" t="s">
        <v>57</v>
      </c>
      <c r="H80" s="9">
        <v>2023.0</v>
      </c>
      <c r="I80" s="9" t="s">
        <v>53</v>
      </c>
      <c r="J80" s="9">
        <v>39.541174947116346</v>
      </c>
      <c r="K80" s="9">
        <v>23.961322756681856</v>
      </c>
      <c r="L80" s="15">
        <v>15.342119833962002</v>
      </c>
    </row>
    <row r="81">
      <c r="A81" s="9" t="s">
        <v>24</v>
      </c>
      <c r="B81" s="9" t="s">
        <v>38</v>
      </c>
      <c r="C81" s="9" t="s">
        <v>39</v>
      </c>
      <c r="D81" s="9" t="s">
        <v>13</v>
      </c>
      <c r="E81" s="9" t="s">
        <v>14</v>
      </c>
      <c r="F81" s="9">
        <v>170.0</v>
      </c>
      <c r="G81" s="9" t="s">
        <v>57</v>
      </c>
      <c r="H81" s="9">
        <v>2023.0</v>
      </c>
      <c r="I81" s="9" t="s">
        <v>54</v>
      </c>
      <c r="J81" s="9">
        <v>35.70189781578658</v>
      </c>
      <c r="K81" s="9">
        <v>23.84267558385543</v>
      </c>
      <c r="L81" s="15">
        <v>15.266151609588572</v>
      </c>
    </row>
    <row r="82">
      <c r="A82" s="9" t="s">
        <v>25</v>
      </c>
      <c r="B82" s="9" t="s">
        <v>38</v>
      </c>
      <c r="C82" s="9" t="s">
        <v>39</v>
      </c>
      <c r="D82" s="9" t="s">
        <v>13</v>
      </c>
      <c r="E82" s="9" t="s">
        <v>14</v>
      </c>
      <c r="F82" s="9">
        <v>170.0</v>
      </c>
      <c r="G82" s="9" t="s">
        <v>57</v>
      </c>
      <c r="H82" s="9">
        <v>2022.0</v>
      </c>
      <c r="I82" s="9" t="s">
        <v>51</v>
      </c>
      <c r="J82" s="9">
        <v>55.51479690341817</v>
      </c>
      <c r="K82" s="9">
        <v>39.23016477309536</v>
      </c>
      <c r="L82" s="15">
        <v>25.118558569019953</v>
      </c>
    </row>
    <row r="83">
      <c r="A83" s="9" t="s">
        <v>25</v>
      </c>
      <c r="B83" s="9" t="s">
        <v>38</v>
      </c>
      <c r="C83" s="9" t="s">
        <v>39</v>
      </c>
      <c r="D83" s="9" t="s">
        <v>13</v>
      </c>
      <c r="E83" s="9" t="s">
        <v>14</v>
      </c>
      <c r="F83" s="9">
        <v>170.0</v>
      </c>
      <c r="G83" s="9" t="s">
        <v>57</v>
      </c>
      <c r="H83" s="9">
        <v>2022.0</v>
      </c>
      <c r="I83" s="9" t="s">
        <v>52</v>
      </c>
      <c r="J83" s="9">
        <v>55.60939162226772</v>
      </c>
      <c r="K83" s="9">
        <v>35.46642433039257</v>
      </c>
      <c r="L83" s="15">
        <v>22.70868506235918</v>
      </c>
    </row>
    <row r="84">
      <c r="A84" s="9" t="s">
        <v>25</v>
      </c>
      <c r="B84" s="9" t="s">
        <v>38</v>
      </c>
      <c r="C84" s="9" t="s">
        <v>39</v>
      </c>
      <c r="D84" s="9" t="s">
        <v>13</v>
      </c>
      <c r="E84" s="9" t="s">
        <v>14</v>
      </c>
      <c r="F84" s="9">
        <v>170.0</v>
      </c>
      <c r="G84" s="9" t="s">
        <v>57</v>
      </c>
      <c r="H84" s="9">
        <v>2022.0</v>
      </c>
      <c r="I84" s="9" t="s">
        <v>53</v>
      </c>
      <c r="J84" s="9">
        <v>62.789211967578275</v>
      </c>
      <c r="K84" s="9">
        <v>45.86876267286881</v>
      </c>
      <c r="L84" s="15">
        <v>29.369165496778596</v>
      </c>
    </row>
    <row r="85">
      <c r="A85" s="9" t="s">
        <v>25</v>
      </c>
      <c r="B85" s="9" t="s">
        <v>38</v>
      </c>
      <c r="C85" s="9" t="s">
        <v>39</v>
      </c>
      <c r="D85" s="9" t="s">
        <v>13</v>
      </c>
      <c r="E85" s="9" t="s">
        <v>14</v>
      </c>
      <c r="F85" s="9">
        <v>170.0</v>
      </c>
      <c r="G85" s="9" t="s">
        <v>57</v>
      </c>
      <c r="H85" s="9">
        <v>2022.0</v>
      </c>
      <c r="I85" s="9" t="s">
        <v>54</v>
      </c>
      <c r="J85" s="9">
        <v>53.032454963578665</v>
      </c>
      <c r="K85" s="9">
        <v>34.97764403181801</v>
      </c>
      <c r="L85" s="15">
        <v>22.395725465372013</v>
      </c>
    </row>
    <row r="86">
      <c r="A86" s="9" t="s">
        <v>25</v>
      </c>
      <c r="B86" s="9" t="s">
        <v>38</v>
      </c>
      <c r="C86" s="9" t="s">
        <v>39</v>
      </c>
      <c r="D86" s="9" t="s">
        <v>13</v>
      </c>
      <c r="E86" s="9" t="s">
        <v>14</v>
      </c>
      <c r="F86" s="9">
        <v>170.0</v>
      </c>
      <c r="G86" s="9" t="s">
        <v>57</v>
      </c>
      <c r="H86" s="9">
        <v>2023.0</v>
      </c>
      <c r="I86" s="9" t="s">
        <v>51</v>
      </c>
      <c r="J86" s="9">
        <v>50.26434907438719</v>
      </c>
      <c r="K86" s="9">
        <v>32.241100814791814</v>
      </c>
      <c r="L86" s="15">
        <v>20.643552833136006</v>
      </c>
    </row>
    <row r="87">
      <c r="A87" s="9" t="s">
        <v>25</v>
      </c>
      <c r="B87" s="9" t="s">
        <v>38</v>
      </c>
      <c r="C87" s="9" t="s">
        <v>39</v>
      </c>
      <c r="D87" s="9" t="s">
        <v>13</v>
      </c>
      <c r="E87" s="9" t="s">
        <v>14</v>
      </c>
      <c r="F87" s="9">
        <v>170.0</v>
      </c>
      <c r="G87" s="9" t="s">
        <v>57</v>
      </c>
      <c r="H87" s="9">
        <v>2023.0</v>
      </c>
      <c r="I87" s="9" t="s">
        <v>52</v>
      </c>
      <c r="J87" s="9">
        <v>48.925074679374426</v>
      </c>
      <c r="K87" s="9">
        <v>36.22885467802682</v>
      </c>
      <c r="L87" s="15">
        <v>23.196859186852876</v>
      </c>
    </row>
    <row r="88">
      <c r="A88" s="9" t="s">
        <v>25</v>
      </c>
      <c r="B88" s="9" t="s">
        <v>38</v>
      </c>
      <c r="C88" s="9" t="s">
        <v>39</v>
      </c>
      <c r="D88" s="9" t="s">
        <v>13</v>
      </c>
      <c r="E88" s="9" t="s">
        <v>14</v>
      </c>
      <c r="F88" s="9">
        <v>170.0</v>
      </c>
      <c r="G88" s="9" t="s">
        <v>57</v>
      </c>
      <c r="H88" s="9">
        <v>2023.0</v>
      </c>
      <c r="I88" s="9" t="s">
        <v>53</v>
      </c>
      <c r="J88" s="9">
        <v>48.14907132420701</v>
      </c>
      <c r="K88" s="9">
        <v>34.89715890374227</v>
      </c>
      <c r="L88" s="15">
        <v>22.344191896364624</v>
      </c>
    </row>
    <row r="89">
      <c r="A89" s="9" t="s">
        <v>25</v>
      </c>
      <c r="B89" s="9" t="s">
        <v>38</v>
      </c>
      <c r="C89" s="9" t="s">
        <v>39</v>
      </c>
      <c r="D89" s="9" t="s">
        <v>13</v>
      </c>
      <c r="E89" s="9" t="s">
        <v>14</v>
      </c>
      <c r="F89" s="9">
        <v>170.0</v>
      </c>
      <c r="G89" s="9" t="s">
        <v>57</v>
      </c>
      <c r="H89" s="9">
        <v>2023.0</v>
      </c>
      <c r="I89" s="9" t="s">
        <v>54</v>
      </c>
      <c r="J89" s="9">
        <v>48.768668431918826</v>
      </c>
      <c r="K89" s="9">
        <v>30.502540100480136</v>
      </c>
      <c r="L89" s="15">
        <v>19.530375272429335</v>
      </c>
    </row>
    <row r="90">
      <c r="A90" s="9" t="s">
        <v>26</v>
      </c>
      <c r="B90" s="9" t="s">
        <v>38</v>
      </c>
      <c r="C90" s="9" t="s">
        <v>39</v>
      </c>
      <c r="D90" s="9" t="s">
        <v>13</v>
      </c>
      <c r="E90" s="9" t="s">
        <v>14</v>
      </c>
      <c r="F90" s="9">
        <v>170.0</v>
      </c>
      <c r="G90" s="9" t="s">
        <v>57</v>
      </c>
      <c r="H90" s="9">
        <v>2022.0</v>
      </c>
      <c r="I90" s="9" t="s">
        <v>51</v>
      </c>
      <c r="J90" s="9">
        <v>44.57436219260806</v>
      </c>
      <c r="K90" s="9">
        <v>31.058431842587165</v>
      </c>
      <c r="L90" s="15">
        <v>19.88630544409474</v>
      </c>
    </row>
    <row r="91">
      <c r="A91" s="9" t="s">
        <v>26</v>
      </c>
      <c r="B91" s="9" t="s">
        <v>38</v>
      </c>
      <c r="C91" s="9" t="s">
        <v>39</v>
      </c>
      <c r="D91" s="9" t="s">
        <v>13</v>
      </c>
      <c r="E91" s="9" t="s">
        <v>14</v>
      </c>
      <c r="F91" s="9">
        <v>170.0</v>
      </c>
      <c r="G91" s="9" t="s">
        <v>57</v>
      </c>
      <c r="H91" s="9">
        <v>2022.0</v>
      </c>
      <c r="I91" s="9" t="s">
        <v>52</v>
      </c>
      <c r="J91" s="9">
        <v>46.42323295773365</v>
      </c>
      <c r="K91" s="9">
        <v>28.257179037009347</v>
      </c>
      <c r="L91" s="15">
        <v>18.092700113336758</v>
      </c>
    </row>
    <row r="92">
      <c r="A92" s="9" t="s">
        <v>26</v>
      </c>
      <c r="B92" s="9" t="s">
        <v>38</v>
      </c>
      <c r="C92" s="9" t="s">
        <v>39</v>
      </c>
      <c r="D92" s="9" t="s">
        <v>13</v>
      </c>
      <c r="E92" s="9" t="s">
        <v>14</v>
      </c>
      <c r="F92" s="9">
        <v>170.0</v>
      </c>
      <c r="G92" s="9" t="s">
        <v>57</v>
      </c>
      <c r="H92" s="9">
        <v>2022.0</v>
      </c>
      <c r="I92" s="9" t="s">
        <v>53</v>
      </c>
      <c r="J92" s="9">
        <v>48.69531668101522</v>
      </c>
      <c r="K92" s="9">
        <v>33.103096024079946</v>
      </c>
      <c r="L92" s="15">
        <v>21.195477029120212</v>
      </c>
    </row>
    <row r="93">
      <c r="A93" s="9" t="s">
        <v>26</v>
      </c>
      <c r="B93" s="9" t="s">
        <v>38</v>
      </c>
      <c r="C93" s="9" t="s">
        <v>39</v>
      </c>
      <c r="D93" s="9" t="s">
        <v>13</v>
      </c>
      <c r="E93" s="9" t="s">
        <v>14</v>
      </c>
      <c r="F93" s="9">
        <v>170.0</v>
      </c>
      <c r="G93" s="9" t="s">
        <v>57</v>
      </c>
      <c r="H93" s="9">
        <v>2022.0</v>
      </c>
      <c r="I93" s="9" t="s">
        <v>54</v>
      </c>
      <c r="J93" s="9">
        <v>44.22736332728754</v>
      </c>
      <c r="K93" s="9">
        <v>31.512789727988327</v>
      </c>
      <c r="L93" s="15">
        <v>20.177224822633068</v>
      </c>
    </row>
    <row r="94">
      <c r="A94" s="9" t="s">
        <v>26</v>
      </c>
      <c r="B94" s="9" t="s">
        <v>38</v>
      </c>
      <c r="C94" s="9" t="s">
        <v>39</v>
      </c>
      <c r="D94" s="9" t="s">
        <v>13</v>
      </c>
      <c r="E94" s="9" t="s">
        <v>14</v>
      </c>
      <c r="F94" s="9">
        <v>170.0</v>
      </c>
      <c r="G94" s="9" t="s">
        <v>57</v>
      </c>
      <c r="H94" s="9">
        <v>2023.0</v>
      </c>
      <c r="I94" s="9" t="s">
        <v>51</v>
      </c>
      <c r="J94" s="9">
        <v>41.01142626180077</v>
      </c>
      <c r="K94" s="9">
        <v>27.01954141792476</v>
      </c>
      <c r="L94" s="15">
        <v>17.300257022617977</v>
      </c>
    </row>
    <row r="95">
      <c r="A95" s="9" t="s">
        <v>26</v>
      </c>
      <c r="B95" s="9" t="s">
        <v>38</v>
      </c>
      <c r="C95" s="9" t="s">
        <v>39</v>
      </c>
      <c r="D95" s="9" t="s">
        <v>13</v>
      </c>
      <c r="E95" s="9" t="s">
        <v>14</v>
      </c>
      <c r="F95" s="9">
        <v>170.0</v>
      </c>
      <c r="G95" s="9" t="s">
        <v>57</v>
      </c>
      <c r="H95" s="9">
        <v>2023.0</v>
      </c>
      <c r="I95" s="9" t="s">
        <v>52</v>
      </c>
      <c r="J95" s="9">
        <v>35.981946224004886</v>
      </c>
      <c r="K95" s="9">
        <v>21.615452295347943</v>
      </c>
      <c r="L95" s="15">
        <v>13.840089829266194</v>
      </c>
    </row>
    <row r="96">
      <c r="A96" s="9" t="s">
        <v>26</v>
      </c>
      <c r="B96" s="9" t="s">
        <v>38</v>
      </c>
      <c r="C96" s="9" t="s">
        <v>39</v>
      </c>
      <c r="D96" s="9" t="s">
        <v>13</v>
      </c>
      <c r="E96" s="9" t="s">
        <v>14</v>
      </c>
      <c r="F96" s="9">
        <v>170.0</v>
      </c>
      <c r="G96" s="9" t="s">
        <v>57</v>
      </c>
      <c r="H96" s="9">
        <v>2023.0</v>
      </c>
      <c r="I96" s="9" t="s">
        <v>53</v>
      </c>
      <c r="J96" s="9">
        <v>36.124176257027784</v>
      </c>
      <c r="K96" s="9">
        <v>23.629894862922914</v>
      </c>
      <c r="L96" s="15">
        <v>15.129910912359403</v>
      </c>
    </row>
    <row r="97">
      <c r="A97" s="9" t="s">
        <v>26</v>
      </c>
      <c r="B97" s="9" t="s">
        <v>38</v>
      </c>
      <c r="C97" s="9" t="s">
        <v>39</v>
      </c>
      <c r="D97" s="9" t="s">
        <v>13</v>
      </c>
      <c r="E97" s="9" t="s">
        <v>14</v>
      </c>
      <c r="F97" s="9">
        <v>170.0</v>
      </c>
      <c r="G97" s="9" t="s">
        <v>57</v>
      </c>
      <c r="H97" s="9">
        <v>2023.0</v>
      </c>
      <c r="I97" s="9" t="s">
        <v>54</v>
      </c>
      <c r="J97" s="9">
        <v>40.21054288094002</v>
      </c>
      <c r="K97" s="9">
        <v>28.334586575657802</v>
      </c>
      <c r="L97" s="15">
        <v>18.142263142308746</v>
      </c>
    </row>
    <row r="98">
      <c r="A98" s="9" t="s">
        <v>10</v>
      </c>
      <c r="B98" s="9" t="s">
        <v>38</v>
      </c>
      <c r="C98" s="9" t="s">
        <v>40</v>
      </c>
      <c r="D98" s="9" t="s">
        <v>31</v>
      </c>
      <c r="E98" s="9" t="s">
        <v>14</v>
      </c>
      <c r="F98" s="9">
        <v>180.0</v>
      </c>
      <c r="G98" s="9" t="s">
        <v>58</v>
      </c>
      <c r="H98" s="9">
        <v>2022.0</v>
      </c>
      <c r="I98" s="9" t="s">
        <v>51</v>
      </c>
      <c r="J98" s="9">
        <v>16.776861119717623</v>
      </c>
      <c r="K98" s="9">
        <v>11.405977483168408</v>
      </c>
      <c r="L98" s="15">
        <v>5.204644071717276</v>
      </c>
    </row>
    <row r="99">
      <c r="A99" s="9" t="s">
        <v>10</v>
      </c>
      <c r="B99" s="9" t="s">
        <v>38</v>
      </c>
      <c r="C99" s="9" t="s">
        <v>40</v>
      </c>
      <c r="D99" s="9" t="s">
        <v>31</v>
      </c>
      <c r="E99" s="9" t="s">
        <v>14</v>
      </c>
      <c r="F99" s="9">
        <v>180.0</v>
      </c>
      <c r="G99" s="9" t="s">
        <v>58</v>
      </c>
      <c r="H99" s="9">
        <v>2022.0</v>
      </c>
      <c r="I99" s="9" t="s">
        <v>52</v>
      </c>
      <c r="J99" s="9">
        <v>19.781912496310767</v>
      </c>
      <c r="K99" s="9">
        <v>12.51875586315713</v>
      </c>
      <c r="L99" s="15">
        <v>5.712414265643226</v>
      </c>
    </row>
    <row r="100">
      <c r="A100" s="9" t="s">
        <v>10</v>
      </c>
      <c r="B100" s="9" t="s">
        <v>38</v>
      </c>
      <c r="C100" s="9" t="s">
        <v>40</v>
      </c>
      <c r="D100" s="9" t="s">
        <v>31</v>
      </c>
      <c r="E100" s="9" t="s">
        <v>14</v>
      </c>
      <c r="F100" s="9">
        <v>180.0</v>
      </c>
      <c r="G100" s="9" t="s">
        <v>58</v>
      </c>
      <c r="H100" s="9">
        <v>2022.0</v>
      </c>
      <c r="I100" s="9" t="s">
        <v>53</v>
      </c>
      <c r="J100" s="9">
        <v>17.87067466964527</v>
      </c>
      <c r="K100" s="9">
        <v>11.572652538410683</v>
      </c>
      <c r="L100" s="15">
        <v>5.280699310249</v>
      </c>
    </row>
    <row r="101">
      <c r="A101" s="9" t="s">
        <v>10</v>
      </c>
      <c r="B101" s="9" t="s">
        <v>38</v>
      </c>
      <c r="C101" s="9" t="s">
        <v>40</v>
      </c>
      <c r="D101" s="9" t="s">
        <v>31</v>
      </c>
      <c r="E101" s="9" t="s">
        <v>14</v>
      </c>
      <c r="F101" s="9">
        <v>180.0</v>
      </c>
      <c r="G101" s="9" t="s">
        <v>58</v>
      </c>
      <c r="H101" s="9">
        <v>2022.0</v>
      </c>
      <c r="I101" s="9" t="s">
        <v>54</v>
      </c>
      <c r="J101" s="9">
        <v>15.417940583080977</v>
      </c>
      <c r="K101" s="9">
        <v>9.278846213856458</v>
      </c>
      <c r="L101" s="15">
        <v>4.23401606838077</v>
      </c>
    </row>
    <row r="102">
      <c r="A102" s="9" t="s">
        <v>10</v>
      </c>
      <c r="B102" s="9" t="s">
        <v>38</v>
      </c>
      <c r="C102" s="9" t="s">
        <v>40</v>
      </c>
      <c r="D102" s="9" t="s">
        <v>31</v>
      </c>
      <c r="E102" s="9" t="s">
        <v>14</v>
      </c>
      <c r="F102" s="9">
        <v>180.0</v>
      </c>
      <c r="G102" s="9" t="s">
        <v>58</v>
      </c>
      <c r="H102" s="9">
        <v>2023.0</v>
      </c>
      <c r="I102" s="9" t="s">
        <v>51</v>
      </c>
      <c r="J102" s="9">
        <v>14.164808661780171</v>
      </c>
      <c r="K102" s="9">
        <v>8.67295482772769</v>
      </c>
      <c r="L102" s="15">
        <v>3.957542700309235</v>
      </c>
    </row>
    <row r="103">
      <c r="A103" s="9" t="s">
        <v>10</v>
      </c>
      <c r="B103" s="9" t="s">
        <v>38</v>
      </c>
      <c r="C103" s="9" t="s">
        <v>40</v>
      </c>
      <c r="D103" s="9" t="s">
        <v>31</v>
      </c>
      <c r="E103" s="9" t="s">
        <v>14</v>
      </c>
      <c r="F103" s="9">
        <v>180.0</v>
      </c>
      <c r="G103" s="9" t="s">
        <v>58</v>
      </c>
      <c r="H103" s="9">
        <v>2023.0</v>
      </c>
      <c r="I103" s="9" t="s">
        <v>52</v>
      </c>
      <c r="J103" s="9">
        <v>13.026621286278342</v>
      </c>
      <c r="K103" s="9">
        <v>8.401695455672428</v>
      </c>
      <c r="L103" s="15">
        <v>3.833764752759493</v>
      </c>
    </row>
    <row r="104">
      <c r="A104" s="9" t="s">
        <v>10</v>
      </c>
      <c r="B104" s="9" t="s">
        <v>38</v>
      </c>
      <c r="C104" s="9" t="s">
        <v>40</v>
      </c>
      <c r="D104" s="9" t="s">
        <v>31</v>
      </c>
      <c r="E104" s="9" t="s">
        <v>14</v>
      </c>
      <c r="F104" s="9">
        <v>180.0</v>
      </c>
      <c r="G104" s="9" t="s">
        <v>58</v>
      </c>
      <c r="H104" s="9">
        <v>2023.0</v>
      </c>
      <c r="I104" s="9" t="s">
        <v>53</v>
      </c>
      <c r="J104" s="9">
        <v>12.423009663228896</v>
      </c>
      <c r="K104" s="9">
        <v>8.235128629890543</v>
      </c>
      <c r="L104" s="15">
        <v>3.757758900246654</v>
      </c>
    </row>
    <row r="105">
      <c r="A105" s="9" t="s">
        <v>10</v>
      </c>
      <c r="B105" s="9" t="s">
        <v>38</v>
      </c>
      <c r="C105" s="9" t="s">
        <v>40</v>
      </c>
      <c r="D105" s="9" t="s">
        <v>31</v>
      </c>
      <c r="E105" s="9" t="s">
        <v>14</v>
      </c>
      <c r="F105" s="9">
        <v>180.0</v>
      </c>
      <c r="G105" s="9" t="s">
        <v>58</v>
      </c>
      <c r="H105" s="9">
        <v>2023.0</v>
      </c>
      <c r="I105" s="9" t="s">
        <v>54</v>
      </c>
      <c r="J105" s="9">
        <v>13.715588239834752</v>
      </c>
      <c r="K105" s="9">
        <v>9.024843056114877</v>
      </c>
      <c r="L105" s="15">
        <v>4.118112277487966</v>
      </c>
    </row>
    <row r="106">
      <c r="A106" s="9" t="s">
        <v>24</v>
      </c>
      <c r="B106" s="9" t="s">
        <v>38</v>
      </c>
      <c r="C106" s="9" t="s">
        <v>40</v>
      </c>
      <c r="D106" s="9" t="s">
        <v>31</v>
      </c>
      <c r="E106" s="9" t="s">
        <v>14</v>
      </c>
      <c r="F106" s="9">
        <v>180.0</v>
      </c>
      <c r="G106" s="9" t="s">
        <v>58</v>
      </c>
      <c r="H106" s="9">
        <v>2022.0</v>
      </c>
      <c r="I106" s="9" t="s">
        <v>51</v>
      </c>
      <c r="J106" s="9">
        <v>29.111952217164678</v>
      </c>
      <c r="K106" s="9">
        <v>18.617170105424087</v>
      </c>
      <c r="L106" s="15">
        <v>8.495172304551259</v>
      </c>
    </row>
    <row r="107">
      <c r="A107" s="9" t="s">
        <v>24</v>
      </c>
      <c r="B107" s="9" t="s">
        <v>38</v>
      </c>
      <c r="C107" s="9" t="s">
        <v>40</v>
      </c>
      <c r="D107" s="9" t="s">
        <v>31</v>
      </c>
      <c r="E107" s="9" t="s">
        <v>14</v>
      </c>
      <c r="F107" s="9">
        <v>180.0</v>
      </c>
      <c r="G107" s="9" t="s">
        <v>58</v>
      </c>
      <c r="H107" s="9">
        <v>2022.0</v>
      </c>
      <c r="I107" s="9" t="s">
        <v>52</v>
      </c>
      <c r="J107" s="9">
        <v>34.795887323603026</v>
      </c>
      <c r="K107" s="9">
        <v>23.223532939897368</v>
      </c>
      <c r="L107" s="15">
        <v>10.59709465658105</v>
      </c>
    </row>
    <row r="108">
      <c r="A108" s="9" t="s">
        <v>24</v>
      </c>
      <c r="B108" s="9" t="s">
        <v>38</v>
      </c>
      <c r="C108" s="9" t="s">
        <v>40</v>
      </c>
      <c r="D108" s="9" t="s">
        <v>31</v>
      </c>
      <c r="E108" s="9" t="s">
        <v>14</v>
      </c>
      <c r="F108" s="9">
        <v>180.0</v>
      </c>
      <c r="G108" s="9" t="s">
        <v>58</v>
      </c>
      <c r="H108" s="9">
        <v>2022.0</v>
      </c>
      <c r="I108" s="9" t="s">
        <v>53</v>
      </c>
      <c r="J108" s="9">
        <v>34.30182827795797</v>
      </c>
      <c r="K108" s="9">
        <v>21.560089967933216</v>
      </c>
      <c r="L108" s="15">
        <v>9.838051548224147</v>
      </c>
    </row>
    <row r="109">
      <c r="A109" s="9" t="s">
        <v>24</v>
      </c>
      <c r="B109" s="9" t="s">
        <v>38</v>
      </c>
      <c r="C109" s="9" t="s">
        <v>40</v>
      </c>
      <c r="D109" s="9" t="s">
        <v>31</v>
      </c>
      <c r="E109" s="9" t="s">
        <v>14</v>
      </c>
      <c r="F109" s="9">
        <v>180.0</v>
      </c>
      <c r="G109" s="9" t="s">
        <v>58</v>
      </c>
      <c r="H109" s="9">
        <v>2022.0</v>
      </c>
      <c r="I109" s="9" t="s">
        <v>54</v>
      </c>
      <c r="J109" s="9">
        <v>33.03205715593076</v>
      </c>
      <c r="K109" s="9">
        <v>21.402416975086204</v>
      </c>
      <c r="L109" s="15">
        <v>9.766104026961536</v>
      </c>
    </row>
    <row r="110">
      <c r="A110" s="9" t="s">
        <v>24</v>
      </c>
      <c r="B110" s="9" t="s">
        <v>38</v>
      </c>
      <c r="C110" s="9" t="s">
        <v>40</v>
      </c>
      <c r="D110" s="9" t="s">
        <v>31</v>
      </c>
      <c r="E110" s="9" t="s">
        <v>14</v>
      </c>
      <c r="F110" s="9">
        <v>180.0</v>
      </c>
      <c r="G110" s="9" t="s">
        <v>58</v>
      </c>
      <c r="H110" s="9">
        <v>2023.0</v>
      </c>
      <c r="I110" s="9" t="s">
        <v>51</v>
      </c>
      <c r="J110" s="9">
        <v>27.807469067806185</v>
      </c>
      <c r="K110" s="9">
        <v>20.418169118687683</v>
      </c>
      <c r="L110" s="15">
        <v>9.31698339889924</v>
      </c>
    </row>
    <row r="111">
      <c r="A111" s="9" t="s">
        <v>24</v>
      </c>
      <c r="B111" s="9" t="s">
        <v>38</v>
      </c>
      <c r="C111" s="9" t="s">
        <v>40</v>
      </c>
      <c r="D111" s="9" t="s">
        <v>31</v>
      </c>
      <c r="E111" s="9" t="s">
        <v>14</v>
      </c>
      <c r="F111" s="9">
        <v>180.0</v>
      </c>
      <c r="G111" s="9" t="s">
        <v>58</v>
      </c>
      <c r="H111" s="9">
        <v>2023.0</v>
      </c>
      <c r="I111" s="9" t="s">
        <v>52</v>
      </c>
      <c r="J111" s="9">
        <v>23.630112828438428</v>
      </c>
      <c r="K111" s="9">
        <v>14.880546690179626</v>
      </c>
      <c r="L111" s="15">
        <v>6.790119411444046</v>
      </c>
    </row>
    <row r="112">
      <c r="A112" s="9" t="s">
        <v>24</v>
      </c>
      <c r="B112" s="9" t="s">
        <v>38</v>
      </c>
      <c r="C112" s="9" t="s">
        <v>40</v>
      </c>
      <c r="D112" s="9" t="s">
        <v>31</v>
      </c>
      <c r="E112" s="9" t="s">
        <v>14</v>
      </c>
      <c r="F112" s="9">
        <v>180.0</v>
      </c>
      <c r="G112" s="9" t="s">
        <v>58</v>
      </c>
      <c r="H112" s="9">
        <v>2023.0</v>
      </c>
      <c r="I112" s="9" t="s">
        <v>53</v>
      </c>
      <c r="J112" s="9">
        <v>30.74640816700411</v>
      </c>
      <c r="K112" s="9">
        <v>19.427329700597078</v>
      </c>
      <c r="L112" s="15">
        <v>8.864854985442426</v>
      </c>
    </row>
    <row r="113">
      <c r="A113" s="9" t="s">
        <v>24</v>
      </c>
      <c r="B113" s="9" t="s">
        <v>38</v>
      </c>
      <c r="C113" s="9" t="s">
        <v>40</v>
      </c>
      <c r="D113" s="9" t="s">
        <v>31</v>
      </c>
      <c r="E113" s="9" t="s">
        <v>14</v>
      </c>
      <c r="F113" s="9">
        <v>180.0</v>
      </c>
      <c r="G113" s="9" t="s">
        <v>58</v>
      </c>
      <c r="H113" s="9">
        <v>2023.0</v>
      </c>
      <c r="I113" s="9" t="s">
        <v>54</v>
      </c>
      <c r="J113" s="9">
        <v>19.788468871918013</v>
      </c>
      <c r="K113" s="9">
        <v>14.213918751134484</v>
      </c>
      <c r="L113" s="15">
        <v>6.485931440170881</v>
      </c>
    </row>
    <row r="114">
      <c r="A114" s="9" t="s">
        <v>25</v>
      </c>
      <c r="B114" s="9" t="s">
        <v>38</v>
      </c>
      <c r="C114" s="9" t="s">
        <v>40</v>
      </c>
      <c r="D114" s="9" t="s">
        <v>31</v>
      </c>
      <c r="E114" s="9" t="s">
        <v>14</v>
      </c>
      <c r="F114" s="9">
        <v>180.0</v>
      </c>
      <c r="G114" s="9" t="s">
        <v>58</v>
      </c>
      <c r="H114" s="9">
        <v>2022.0</v>
      </c>
      <c r="I114" s="9" t="s">
        <v>51</v>
      </c>
      <c r="J114" s="9">
        <v>6.7705433684409195</v>
      </c>
      <c r="K114" s="9">
        <v>5.071470788788975</v>
      </c>
      <c r="L114" s="15">
        <v>2.314155048500559</v>
      </c>
    </row>
    <row r="115">
      <c r="A115" s="9" t="s">
        <v>25</v>
      </c>
      <c r="B115" s="9" t="s">
        <v>38</v>
      </c>
      <c r="C115" s="9" t="s">
        <v>40</v>
      </c>
      <c r="D115" s="9" t="s">
        <v>31</v>
      </c>
      <c r="E115" s="9" t="s">
        <v>14</v>
      </c>
      <c r="F115" s="9">
        <v>180.0</v>
      </c>
      <c r="G115" s="9" t="s">
        <v>58</v>
      </c>
      <c r="H115" s="9">
        <v>2022.0</v>
      </c>
      <c r="I115" s="9" t="s">
        <v>52</v>
      </c>
      <c r="J115" s="9">
        <v>9.564772168456587</v>
      </c>
      <c r="K115" s="9">
        <v>6.670732750037665</v>
      </c>
      <c r="L115" s="15">
        <v>3.043911818406418</v>
      </c>
    </row>
    <row r="116">
      <c r="A116" s="9" t="s">
        <v>25</v>
      </c>
      <c r="B116" s="9" t="s">
        <v>38</v>
      </c>
      <c r="C116" s="9" t="s">
        <v>40</v>
      </c>
      <c r="D116" s="9" t="s">
        <v>31</v>
      </c>
      <c r="E116" s="9" t="s">
        <v>14</v>
      </c>
      <c r="F116" s="9">
        <v>180.0</v>
      </c>
      <c r="G116" s="9" t="s">
        <v>58</v>
      </c>
      <c r="H116" s="9">
        <v>2022.0</v>
      </c>
      <c r="I116" s="9" t="s">
        <v>53</v>
      </c>
      <c r="J116" s="9">
        <v>8.132356904347928</v>
      </c>
      <c r="K116" s="9">
        <v>5.106762981006077</v>
      </c>
      <c r="L116" s="15">
        <v>2.330259174540761</v>
      </c>
    </row>
    <row r="117">
      <c r="A117" s="9" t="s">
        <v>25</v>
      </c>
      <c r="B117" s="9" t="s">
        <v>38</v>
      </c>
      <c r="C117" s="9" t="s">
        <v>40</v>
      </c>
      <c r="D117" s="9" t="s">
        <v>31</v>
      </c>
      <c r="E117" s="9" t="s">
        <v>14</v>
      </c>
      <c r="F117" s="9">
        <v>180.0</v>
      </c>
      <c r="G117" s="9" t="s">
        <v>58</v>
      </c>
      <c r="H117" s="9">
        <v>2022.0</v>
      </c>
      <c r="I117" s="9" t="s">
        <v>54</v>
      </c>
      <c r="J117" s="9">
        <v>7.289324248458438</v>
      </c>
      <c r="K117" s="9">
        <v>4.668428430564669</v>
      </c>
      <c r="L117" s="15">
        <v>2.1302434088818933</v>
      </c>
    </row>
    <row r="118">
      <c r="A118" s="9" t="s">
        <v>25</v>
      </c>
      <c r="B118" s="9" t="s">
        <v>38</v>
      </c>
      <c r="C118" s="9" t="s">
        <v>40</v>
      </c>
      <c r="D118" s="9" t="s">
        <v>31</v>
      </c>
      <c r="E118" s="9" t="s">
        <v>14</v>
      </c>
      <c r="F118" s="9">
        <v>180.0</v>
      </c>
      <c r="G118" s="9" t="s">
        <v>58</v>
      </c>
      <c r="H118" s="9">
        <v>2023.0</v>
      </c>
      <c r="I118" s="9" t="s">
        <v>51</v>
      </c>
      <c r="J118" s="9">
        <v>6.063321492236651</v>
      </c>
      <c r="K118" s="9">
        <v>3.8590571968535556</v>
      </c>
      <c r="L118" s="15">
        <v>1.7609204639988847</v>
      </c>
    </row>
    <row r="119">
      <c r="A119" s="9" t="s">
        <v>25</v>
      </c>
      <c r="B119" s="9" t="s">
        <v>38</v>
      </c>
      <c r="C119" s="9" t="s">
        <v>40</v>
      </c>
      <c r="D119" s="9" t="s">
        <v>31</v>
      </c>
      <c r="E119" s="9" t="s">
        <v>14</v>
      </c>
      <c r="F119" s="9">
        <v>180.0</v>
      </c>
      <c r="G119" s="9" t="s">
        <v>58</v>
      </c>
      <c r="H119" s="9">
        <v>2023.0</v>
      </c>
      <c r="I119" s="9" t="s">
        <v>52</v>
      </c>
      <c r="J119" s="9">
        <v>3.822702360871048</v>
      </c>
      <c r="K119" s="9">
        <v>2.3225337728264743</v>
      </c>
      <c r="L119" s="15">
        <v>1.0597918196789753</v>
      </c>
    </row>
    <row r="120">
      <c r="A120" s="9" t="s">
        <v>25</v>
      </c>
      <c r="B120" s="9" t="s">
        <v>38</v>
      </c>
      <c r="C120" s="9" t="s">
        <v>40</v>
      </c>
      <c r="D120" s="9" t="s">
        <v>31</v>
      </c>
      <c r="E120" s="9" t="s">
        <v>14</v>
      </c>
      <c r="F120" s="9">
        <v>180.0</v>
      </c>
      <c r="G120" s="9" t="s">
        <v>58</v>
      </c>
      <c r="H120" s="9">
        <v>2023.0</v>
      </c>
      <c r="I120" s="9" t="s">
        <v>53</v>
      </c>
      <c r="J120" s="9">
        <v>3.1899656431489776</v>
      </c>
      <c r="K120" s="9">
        <v>2.3316812247807066</v>
      </c>
      <c r="L120" s="15">
        <v>1.0639658794345</v>
      </c>
    </row>
    <row r="121">
      <c r="A121" s="9" t="s">
        <v>25</v>
      </c>
      <c r="B121" s="9" t="s">
        <v>38</v>
      </c>
      <c r="C121" s="9" t="s">
        <v>40</v>
      </c>
      <c r="D121" s="9" t="s">
        <v>31</v>
      </c>
      <c r="E121" s="9" t="s">
        <v>14</v>
      </c>
      <c r="F121" s="9">
        <v>180.0</v>
      </c>
      <c r="G121" s="9" t="s">
        <v>58</v>
      </c>
      <c r="H121" s="9">
        <v>2023.0</v>
      </c>
      <c r="I121" s="9" t="s">
        <v>54</v>
      </c>
      <c r="J121" s="9">
        <v>3.1651930876985284</v>
      </c>
      <c r="K121" s="9">
        <v>2.308053145938099</v>
      </c>
      <c r="L121" s="15">
        <v>1.0531841870582246</v>
      </c>
    </row>
    <row r="122">
      <c r="A122" s="9" t="s">
        <v>26</v>
      </c>
      <c r="B122" s="9" t="s">
        <v>38</v>
      </c>
      <c r="C122" s="9" t="s">
        <v>40</v>
      </c>
      <c r="D122" s="9" t="s">
        <v>31</v>
      </c>
      <c r="E122" s="9" t="s">
        <v>14</v>
      </c>
      <c r="F122" s="9">
        <v>180.0</v>
      </c>
      <c r="G122" s="9" t="s">
        <v>58</v>
      </c>
      <c r="H122" s="9">
        <v>2022.0</v>
      </c>
      <c r="I122" s="9" t="s">
        <v>51</v>
      </c>
      <c r="J122" s="9">
        <v>42.12541791784681</v>
      </c>
      <c r="K122" s="9">
        <v>29.488037815643843</v>
      </c>
      <c r="L122" s="15">
        <v>13.455641257423611</v>
      </c>
    </row>
    <row r="123">
      <c r="A123" s="9" t="s">
        <v>26</v>
      </c>
      <c r="B123" s="9" t="s">
        <v>38</v>
      </c>
      <c r="C123" s="9" t="s">
        <v>40</v>
      </c>
      <c r="D123" s="9" t="s">
        <v>31</v>
      </c>
      <c r="E123" s="9" t="s">
        <v>14</v>
      </c>
      <c r="F123" s="9">
        <v>180.0</v>
      </c>
      <c r="G123" s="9" t="s">
        <v>58</v>
      </c>
      <c r="H123" s="9">
        <v>2022.0</v>
      </c>
      <c r="I123" s="9" t="s">
        <v>52</v>
      </c>
      <c r="J123" s="9">
        <v>41.43344776631471</v>
      </c>
      <c r="K123" s="9">
        <v>25.26497501919459</v>
      </c>
      <c r="L123" s="15">
        <v>11.528621957195798</v>
      </c>
    </row>
    <row r="124">
      <c r="A124" s="9" t="s">
        <v>26</v>
      </c>
      <c r="B124" s="9" t="s">
        <v>38</v>
      </c>
      <c r="C124" s="9" t="s">
        <v>40</v>
      </c>
      <c r="D124" s="9" t="s">
        <v>31</v>
      </c>
      <c r="E124" s="9" t="s">
        <v>14</v>
      </c>
      <c r="F124" s="9">
        <v>180.0</v>
      </c>
      <c r="G124" s="9" t="s">
        <v>58</v>
      </c>
      <c r="H124" s="9">
        <v>2022.0</v>
      </c>
      <c r="I124" s="9" t="s">
        <v>53</v>
      </c>
      <c r="J124" s="9">
        <v>42.87943965255223</v>
      </c>
      <c r="K124" s="9">
        <v>26.87097156740061</v>
      </c>
      <c r="L124" s="15">
        <v>12.261451776135344</v>
      </c>
    </row>
    <row r="125">
      <c r="A125" s="9" t="s">
        <v>26</v>
      </c>
      <c r="B125" s="9" t="s">
        <v>38</v>
      </c>
      <c r="C125" s="9" t="s">
        <v>40</v>
      </c>
      <c r="D125" s="9" t="s">
        <v>31</v>
      </c>
      <c r="E125" s="9" t="s">
        <v>14</v>
      </c>
      <c r="F125" s="9">
        <v>180.0</v>
      </c>
      <c r="G125" s="9" t="s">
        <v>58</v>
      </c>
      <c r="H125" s="9">
        <v>2022.0</v>
      </c>
      <c r="I125" s="9" t="s">
        <v>54</v>
      </c>
      <c r="J125" s="9">
        <v>43.47403878184628</v>
      </c>
      <c r="K125" s="9">
        <v>26.17273292276354</v>
      </c>
      <c r="L125" s="15">
        <v>11.94283957233107</v>
      </c>
    </row>
    <row r="126">
      <c r="A126" s="9" t="s">
        <v>26</v>
      </c>
      <c r="B126" s="9" t="s">
        <v>38</v>
      </c>
      <c r="C126" s="9" t="s">
        <v>40</v>
      </c>
      <c r="D126" s="9" t="s">
        <v>31</v>
      </c>
      <c r="E126" s="9" t="s">
        <v>14</v>
      </c>
      <c r="F126" s="9">
        <v>180.0</v>
      </c>
      <c r="G126" s="9" t="s">
        <v>58</v>
      </c>
      <c r="H126" s="9">
        <v>2023.0</v>
      </c>
      <c r="I126" s="9" t="s">
        <v>51</v>
      </c>
      <c r="J126" s="9">
        <v>38.801010517315</v>
      </c>
      <c r="K126" s="9">
        <v>25.316063516408217</v>
      </c>
      <c r="L126" s="15">
        <v>11.551934070914085</v>
      </c>
    </row>
    <row r="127">
      <c r="A127" s="9" t="s">
        <v>26</v>
      </c>
      <c r="B127" s="9" t="s">
        <v>38</v>
      </c>
      <c r="C127" s="9" t="s">
        <v>40</v>
      </c>
      <c r="D127" s="9" t="s">
        <v>31</v>
      </c>
      <c r="E127" s="9" t="s">
        <v>14</v>
      </c>
      <c r="F127" s="9">
        <v>180.0</v>
      </c>
      <c r="G127" s="9" t="s">
        <v>58</v>
      </c>
      <c r="H127" s="9">
        <v>2023.0</v>
      </c>
      <c r="I127" s="9" t="s">
        <v>52</v>
      </c>
      <c r="J127" s="9">
        <v>34.285409290191765</v>
      </c>
      <c r="K127" s="9">
        <v>21.93461843142898</v>
      </c>
      <c r="L127" s="15">
        <v>10.00895205632169</v>
      </c>
    </row>
    <row r="128">
      <c r="A128" s="9" t="s">
        <v>26</v>
      </c>
      <c r="B128" s="9" t="s">
        <v>38</v>
      </c>
      <c r="C128" s="9" t="s">
        <v>40</v>
      </c>
      <c r="D128" s="9" t="s">
        <v>31</v>
      </c>
      <c r="E128" s="9" t="s">
        <v>14</v>
      </c>
      <c r="F128" s="9">
        <v>180.0</v>
      </c>
      <c r="G128" s="9" t="s">
        <v>58</v>
      </c>
      <c r="H128" s="9">
        <v>2023.0</v>
      </c>
      <c r="I128" s="9" t="s">
        <v>53</v>
      </c>
      <c r="J128" s="9">
        <v>31.702827991181557</v>
      </c>
      <c r="K128" s="9">
        <v>20.25115492962187</v>
      </c>
      <c r="L128" s="15">
        <v>9.240773410733228</v>
      </c>
    </row>
    <row r="129">
      <c r="A129" s="9" t="s">
        <v>26</v>
      </c>
      <c r="B129" s="9" t="s">
        <v>38</v>
      </c>
      <c r="C129" s="9" t="s">
        <v>40</v>
      </c>
      <c r="D129" s="9" t="s">
        <v>31</v>
      </c>
      <c r="E129" s="9" t="s">
        <v>14</v>
      </c>
      <c r="F129" s="9">
        <v>180.0</v>
      </c>
      <c r="G129" s="9" t="s">
        <v>58</v>
      </c>
      <c r="H129" s="9">
        <v>2023.0</v>
      </c>
      <c r="I129" s="9" t="s">
        <v>54</v>
      </c>
      <c r="J129" s="9">
        <v>33.59595182982744</v>
      </c>
      <c r="K129" s="9">
        <v>20.79596446638963</v>
      </c>
      <c r="L129" s="15">
        <v>9.489374613912677</v>
      </c>
    </row>
    <row r="130">
      <c r="A130" s="9" t="s">
        <v>10</v>
      </c>
      <c r="B130" s="9" t="s">
        <v>38</v>
      </c>
      <c r="C130" s="9" t="s">
        <v>40</v>
      </c>
      <c r="D130" s="9" t="s">
        <v>13</v>
      </c>
      <c r="E130" s="9" t="s">
        <v>14</v>
      </c>
      <c r="F130" s="9">
        <v>180.0</v>
      </c>
      <c r="G130" s="9" t="s">
        <v>59</v>
      </c>
      <c r="H130" s="9">
        <v>2022.0</v>
      </c>
      <c r="I130" s="9" t="s">
        <v>51</v>
      </c>
      <c r="J130" s="9">
        <v>38.462885142510686</v>
      </c>
      <c r="K130" s="9">
        <v>23.393166339871755</v>
      </c>
      <c r="L130" s="15">
        <v>11.879527899589556</v>
      </c>
    </row>
    <row r="131">
      <c r="A131" s="9" t="s">
        <v>10</v>
      </c>
      <c r="B131" s="9" t="s">
        <v>38</v>
      </c>
      <c r="C131" s="9" t="s">
        <v>40</v>
      </c>
      <c r="D131" s="9" t="s">
        <v>13</v>
      </c>
      <c r="E131" s="9" t="s">
        <v>14</v>
      </c>
      <c r="F131" s="9">
        <v>180.0</v>
      </c>
      <c r="G131" s="9" t="s">
        <v>59</v>
      </c>
      <c r="H131" s="9">
        <v>2022.0</v>
      </c>
      <c r="I131" s="9" t="s">
        <v>52</v>
      </c>
      <c r="J131" s="9">
        <v>45.94021520076109</v>
      </c>
      <c r="K131" s="9">
        <v>33.99336825981181</v>
      </c>
      <c r="L131" s="15">
        <v>17.262527046420786</v>
      </c>
    </row>
    <row r="132">
      <c r="A132" s="9" t="s">
        <v>10</v>
      </c>
      <c r="B132" s="9" t="s">
        <v>38</v>
      </c>
      <c r="C132" s="9" t="s">
        <v>40</v>
      </c>
      <c r="D132" s="9" t="s">
        <v>13</v>
      </c>
      <c r="E132" s="9" t="s">
        <v>14</v>
      </c>
      <c r="F132" s="9">
        <v>180.0</v>
      </c>
      <c r="G132" s="9" t="s">
        <v>59</v>
      </c>
      <c r="H132" s="9">
        <v>2022.0</v>
      </c>
      <c r="I132" s="9" t="s">
        <v>53</v>
      </c>
      <c r="J132" s="9">
        <v>47.14662812665364</v>
      </c>
      <c r="K132" s="9">
        <v>29.055388555649863</v>
      </c>
      <c r="L132" s="15">
        <v>14.754920046541672</v>
      </c>
    </row>
    <row r="133">
      <c r="A133" s="9" t="s">
        <v>10</v>
      </c>
      <c r="B133" s="9" t="s">
        <v>38</v>
      </c>
      <c r="C133" s="9" t="s">
        <v>40</v>
      </c>
      <c r="D133" s="9" t="s">
        <v>13</v>
      </c>
      <c r="E133" s="9" t="s">
        <v>14</v>
      </c>
      <c r="F133" s="9">
        <v>180.0</v>
      </c>
      <c r="G133" s="9" t="s">
        <v>59</v>
      </c>
      <c r="H133" s="9">
        <v>2022.0</v>
      </c>
      <c r="I133" s="9" t="s">
        <v>54</v>
      </c>
      <c r="J133" s="9">
        <v>44.640850544407755</v>
      </c>
      <c r="K133" s="9">
        <v>28.812799031666835</v>
      </c>
      <c r="L133" s="15">
        <v>14.631728129020331</v>
      </c>
    </row>
    <row r="134">
      <c r="A134" s="9" t="s">
        <v>10</v>
      </c>
      <c r="B134" s="9" t="s">
        <v>38</v>
      </c>
      <c r="C134" s="9" t="s">
        <v>40</v>
      </c>
      <c r="D134" s="9" t="s">
        <v>13</v>
      </c>
      <c r="E134" s="9" t="s">
        <v>14</v>
      </c>
      <c r="F134" s="9">
        <v>180.0</v>
      </c>
      <c r="G134" s="9" t="s">
        <v>59</v>
      </c>
      <c r="H134" s="9">
        <v>2023.0</v>
      </c>
      <c r="I134" s="9" t="s">
        <v>51</v>
      </c>
      <c r="J134" s="9">
        <v>46.10032161600557</v>
      </c>
      <c r="K134" s="9">
        <v>28.272880933112102</v>
      </c>
      <c r="L134" s="15">
        <v>14.35754668551295</v>
      </c>
    </row>
    <row r="135">
      <c r="A135" s="9" t="s">
        <v>10</v>
      </c>
      <c r="B135" s="9" t="s">
        <v>38</v>
      </c>
      <c r="C135" s="9" t="s">
        <v>40</v>
      </c>
      <c r="D135" s="9" t="s">
        <v>13</v>
      </c>
      <c r="E135" s="9" t="s">
        <v>14</v>
      </c>
      <c r="F135" s="9">
        <v>180.0</v>
      </c>
      <c r="G135" s="9" t="s">
        <v>59</v>
      </c>
      <c r="H135" s="9">
        <v>2023.0</v>
      </c>
      <c r="I135" s="9" t="s">
        <v>52</v>
      </c>
      <c r="J135" s="9">
        <v>42.535217323537466</v>
      </c>
      <c r="K135" s="9">
        <v>31.304096795716898</v>
      </c>
      <c r="L135" s="15">
        <v>15.89686004251315</v>
      </c>
    </row>
    <row r="136">
      <c r="A136" s="9" t="s">
        <v>10</v>
      </c>
      <c r="B136" s="9" t="s">
        <v>38</v>
      </c>
      <c r="C136" s="9" t="s">
        <v>40</v>
      </c>
      <c r="D136" s="9" t="s">
        <v>13</v>
      </c>
      <c r="E136" s="9" t="s">
        <v>14</v>
      </c>
      <c r="F136" s="9">
        <v>180.0</v>
      </c>
      <c r="G136" s="9" t="s">
        <v>59</v>
      </c>
      <c r="H136" s="9">
        <v>2023.0</v>
      </c>
      <c r="I136" s="9" t="s">
        <v>53</v>
      </c>
      <c r="J136" s="9">
        <v>38.807024673967646</v>
      </c>
      <c r="K136" s="9">
        <v>24.71162506401872</v>
      </c>
      <c r="L136" s="15">
        <v>12.54906818201235</v>
      </c>
    </row>
    <row r="137">
      <c r="A137" s="9" t="s">
        <v>10</v>
      </c>
      <c r="B137" s="9" t="s">
        <v>38</v>
      </c>
      <c r="C137" s="9" t="s">
        <v>40</v>
      </c>
      <c r="D137" s="9" t="s">
        <v>13</v>
      </c>
      <c r="E137" s="9" t="s">
        <v>14</v>
      </c>
      <c r="F137" s="9">
        <v>180.0</v>
      </c>
      <c r="G137" s="9" t="s">
        <v>59</v>
      </c>
      <c r="H137" s="9">
        <v>2023.0</v>
      </c>
      <c r="I137" s="9" t="s">
        <v>54</v>
      </c>
      <c r="J137" s="9">
        <v>38.150183610905884</v>
      </c>
      <c r="K137" s="9">
        <v>23.91648992116003</v>
      </c>
      <c r="L137" s="15">
        <v>12.145282308125141</v>
      </c>
    </row>
    <row r="138">
      <c r="A138" s="9" t="s">
        <v>24</v>
      </c>
      <c r="B138" s="9" t="s">
        <v>38</v>
      </c>
      <c r="C138" s="9" t="s">
        <v>40</v>
      </c>
      <c r="D138" s="9" t="s">
        <v>13</v>
      </c>
      <c r="E138" s="9" t="s">
        <v>14</v>
      </c>
      <c r="F138" s="9">
        <v>180.0</v>
      </c>
      <c r="G138" s="9" t="s">
        <v>59</v>
      </c>
      <c r="H138" s="9">
        <v>2022.0</v>
      </c>
      <c r="I138" s="9" t="s">
        <v>51</v>
      </c>
      <c r="J138" s="9">
        <v>37.676221030979875</v>
      </c>
      <c r="K138" s="9">
        <v>26.09340544704726</v>
      </c>
      <c r="L138" s="15">
        <v>13.25076449677395</v>
      </c>
    </row>
    <row r="139">
      <c r="A139" s="9" t="s">
        <v>24</v>
      </c>
      <c r="B139" s="9" t="s">
        <v>38</v>
      </c>
      <c r="C139" s="9" t="s">
        <v>40</v>
      </c>
      <c r="D139" s="9" t="s">
        <v>13</v>
      </c>
      <c r="E139" s="9" t="s">
        <v>14</v>
      </c>
      <c r="F139" s="9">
        <v>180.0</v>
      </c>
      <c r="G139" s="9" t="s">
        <v>59</v>
      </c>
      <c r="H139" s="9">
        <v>2022.0</v>
      </c>
      <c r="I139" s="9" t="s">
        <v>52</v>
      </c>
      <c r="J139" s="9">
        <v>44.73629040625268</v>
      </c>
      <c r="K139" s="9">
        <v>27.27795241790426</v>
      </c>
      <c r="L139" s="15">
        <v>13.852301654430358</v>
      </c>
    </row>
    <row r="140">
      <c r="A140" s="9" t="s">
        <v>24</v>
      </c>
      <c r="B140" s="9" t="s">
        <v>38</v>
      </c>
      <c r="C140" s="9" t="s">
        <v>40</v>
      </c>
      <c r="D140" s="9" t="s">
        <v>13</v>
      </c>
      <c r="E140" s="9" t="s">
        <v>14</v>
      </c>
      <c r="F140" s="9">
        <v>180.0</v>
      </c>
      <c r="G140" s="9" t="s">
        <v>59</v>
      </c>
      <c r="H140" s="9">
        <v>2022.0</v>
      </c>
      <c r="I140" s="9" t="s">
        <v>53</v>
      </c>
      <c r="J140" s="9">
        <v>47.79964239875507</v>
      </c>
      <c r="K140" s="9">
        <v>35.247899040498304</v>
      </c>
      <c r="L140" s="15">
        <v>17.89960341280637</v>
      </c>
    </row>
    <row r="141">
      <c r="A141" s="9" t="s">
        <v>24</v>
      </c>
      <c r="B141" s="9" t="s">
        <v>38</v>
      </c>
      <c r="C141" s="9" t="s">
        <v>40</v>
      </c>
      <c r="D141" s="9" t="s">
        <v>13</v>
      </c>
      <c r="E141" s="9" t="s">
        <v>14</v>
      </c>
      <c r="F141" s="9">
        <v>180.0</v>
      </c>
      <c r="G141" s="9" t="s">
        <v>59</v>
      </c>
      <c r="H141" s="9">
        <v>2022.0</v>
      </c>
      <c r="I141" s="9" t="s">
        <v>54</v>
      </c>
      <c r="J141" s="9">
        <v>43.513585222075065</v>
      </c>
      <c r="K141" s="9">
        <v>27.290757713468814</v>
      </c>
      <c r="L141" s="15">
        <v>13.858804445190339</v>
      </c>
    </row>
    <row r="142">
      <c r="A142" s="9" t="s">
        <v>24</v>
      </c>
      <c r="B142" s="9" t="s">
        <v>38</v>
      </c>
      <c r="C142" s="9" t="s">
        <v>40</v>
      </c>
      <c r="D142" s="9" t="s">
        <v>13</v>
      </c>
      <c r="E142" s="9" t="s">
        <v>14</v>
      </c>
      <c r="F142" s="9">
        <v>180.0</v>
      </c>
      <c r="G142" s="9" t="s">
        <v>59</v>
      </c>
      <c r="H142" s="9">
        <v>2023.0</v>
      </c>
      <c r="I142" s="9" t="s">
        <v>51</v>
      </c>
      <c r="J142" s="9">
        <v>45.44253051252194</v>
      </c>
      <c r="K142" s="9">
        <v>29.09321500668109</v>
      </c>
      <c r="L142" s="15">
        <v>14.774129091347293</v>
      </c>
    </row>
    <row r="143">
      <c r="A143" s="9" t="s">
        <v>24</v>
      </c>
      <c r="B143" s="9" t="s">
        <v>38</v>
      </c>
      <c r="C143" s="9" t="s">
        <v>40</v>
      </c>
      <c r="D143" s="9" t="s">
        <v>13</v>
      </c>
      <c r="E143" s="9" t="s">
        <v>14</v>
      </c>
      <c r="F143" s="9">
        <v>180.0</v>
      </c>
      <c r="G143" s="9" t="s">
        <v>59</v>
      </c>
      <c r="H143" s="9">
        <v>2023.0</v>
      </c>
      <c r="I143" s="9" t="s">
        <v>52</v>
      </c>
      <c r="J143" s="9">
        <v>40.32346343661129</v>
      </c>
      <c r="K143" s="9">
        <v>27.315991471045066</v>
      </c>
      <c r="L143" s="15">
        <v>13.871618662931683</v>
      </c>
    </row>
    <row r="144">
      <c r="A144" s="9" t="s">
        <v>24</v>
      </c>
      <c r="B144" s="9" t="s">
        <v>38</v>
      </c>
      <c r="C144" s="9" t="s">
        <v>40</v>
      </c>
      <c r="D144" s="9" t="s">
        <v>13</v>
      </c>
      <c r="E144" s="9" t="s">
        <v>14</v>
      </c>
      <c r="F144" s="9">
        <v>180.0</v>
      </c>
      <c r="G144" s="9" t="s">
        <v>59</v>
      </c>
      <c r="H144" s="9">
        <v>2023.0</v>
      </c>
      <c r="I144" s="9" t="s">
        <v>53</v>
      </c>
      <c r="J144" s="9">
        <v>32.749556628477556</v>
      </c>
      <c r="K144" s="9">
        <v>22.984656423449664</v>
      </c>
      <c r="L144" s="15">
        <v>11.672078216255162</v>
      </c>
    </row>
    <row r="145">
      <c r="A145" s="9" t="s">
        <v>24</v>
      </c>
      <c r="B145" s="9" t="s">
        <v>38</v>
      </c>
      <c r="C145" s="9" t="s">
        <v>40</v>
      </c>
      <c r="D145" s="9" t="s">
        <v>13</v>
      </c>
      <c r="E145" s="9" t="s">
        <v>14</v>
      </c>
      <c r="F145" s="9">
        <v>180.0</v>
      </c>
      <c r="G145" s="9" t="s">
        <v>59</v>
      </c>
      <c r="H145" s="9">
        <v>2023.0</v>
      </c>
      <c r="I145" s="9" t="s">
        <v>54</v>
      </c>
      <c r="J145" s="9">
        <v>27.638117948368393</v>
      </c>
      <c r="K145" s="9">
        <v>16.72043033344754</v>
      </c>
      <c r="L145" s="15">
        <v>8.490976200206957</v>
      </c>
    </row>
    <row r="146">
      <c r="A146" s="9" t="s">
        <v>25</v>
      </c>
      <c r="B146" s="9" t="s">
        <v>38</v>
      </c>
      <c r="C146" s="9" t="s">
        <v>40</v>
      </c>
      <c r="D146" s="9" t="s">
        <v>13</v>
      </c>
      <c r="E146" s="9" t="s">
        <v>14</v>
      </c>
      <c r="F146" s="9">
        <v>180.0</v>
      </c>
      <c r="G146" s="9" t="s">
        <v>59</v>
      </c>
      <c r="H146" s="9">
        <v>2022.0</v>
      </c>
      <c r="I146" s="9" t="s">
        <v>51</v>
      </c>
      <c r="J146" s="9">
        <v>37.53681783952807</v>
      </c>
      <c r="K146" s="9">
        <v>27.604426590289386</v>
      </c>
      <c r="L146" s="15">
        <v>14.018091910567431</v>
      </c>
    </row>
    <row r="147">
      <c r="A147" s="9" t="s">
        <v>25</v>
      </c>
      <c r="B147" s="9" t="s">
        <v>38</v>
      </c>
      <c r="C147" s="9" t="s">
        <v>40</v>
      </c>
      <c r="D147" s="9" t="s">
        <v>13</v>
      </c>
      <c r="E147" s="9" t="s">
        <v>14</v>
      </c>
      <c r="F147" s="9">
        <v>180.0</v>
      </c>
      <c r="G147" s="9" t="s">
        <v>59</v>
      </c>
      <c r="H147" s="9">
        <v>2022.0</v>
      </c>
      <c r="I147" s="9" t="s">
        <v>52</v>
      </c>
      <c r="J147" s="9">
        <v>41.750190381319335</v>
      </c>
      <c r="K147" s="9">
        <v>26.885831149342376</v>
      </c>
      <c r="L147" s="15">
        <v>13.653174461376384</v>
      </c>
    </row>
    <row r="148">
      <c r="A148" s="9" t="s">
        <v>25</v>
      </c>
      <c r="B148" s="9" t="s">
        <v>38</v>
      </c>
      <c r="C148" s="9" t="s">
        <v>40</v>
      </c>
      <c r="D148" s="9" t="s">
        <v>13</v>
      </c>
      <c r="E148" s="9" t="s">
        <v>14</v>
      </c>
      <c r="F148" s="9">
        <v>180.0</v>
      </c>
      <c r="G148" s="9" t="s">
        <v>59</v>
      </c>
      <c r="H148" s="9">
        <v>2022.0</v>
      </c>
      <c r="I148" s="9" t="s">
        <v>53</v>
      </c>
      <c r="J148" s="9">
        <v>44.09102368982577</v>
      </c>
      <c r="K148" s="9">
        <v>27.557959519619864</v>
      </c>
      <c r="L148" s="15">
        <v>13.994494982541065</v>
      </c>
    </row>
    <row r="149">
      <c r="A149" s="9" t="s">
        <v>25</v>
      </c>
      <c r="B149" s="9" t="s">
        <v>38</v>
      </c>
      <c r="C149" s="9" t="s">
        <v>40</v>
      </c>
      <c r="D149" s="9" t="s">
        <v>13</v>
      </c>
      <c r="E149" s="9" t="s">
        <v>14</v>
      </c>
      <c r="F149" s="9">
        <v>180.0</v>
      </c>
      <c r="G149" s="9" t="s">
        <v>59</v>
      </c>
      <c r="H149" s="9">
        <v>2022.0</v>
      </c>
      <c r="I149" s="9" t="s">
        <v>54</v>
      </c>
      <c r="J149" s="9">
        <v>36.28346942277673</v>
      </c>
      <c r="K149" s="9">
        <v>26.02347785364491</v>
      </c>
      <c r="L149" s="15">
        <v>13.21525383589524</v>
      </c>
    </row>
    <row r="150">
      <c r="A150" s="9" t="s">
        <v>25</v>
      </c>
      <c r="B150" s="9" t="s">
        <v>38</v>
      </c>
      <c r="C150" s="9" t="s">
        <v>40</v>
      </c>
      <c r="D150" s="9" t="s">
        <v>13</v>
      </c>
      <c r="E150" s="9" t="s">
        <v>14</v>
      </c>
      <c r="F150" s="9">
        <v>180.0</v>
      </c>
      <c r="G150" s="9" t="s">
        <v>59</v>
      </c>
      <c r="H150" s="9">
        <v>2023.0</v>
      </c>
      <c r="I150" s="9" t="s">
        <v>51</v>
      </c>
      <c r="J150" s="9">
        <v>35.02371767181777</v>
      </c>
      <c r="K150" s="9">
        <v>23.367244649214104</v>
      </c>
      <c r="L150" s="15">
        <v>11.866364335371777</v>
      </c>
    </row>
    <row r="151">
      <c r="A151" s="9" t="s">
        <v>25</v>
      </c>
      <c r="B151" s="9" t="s">
        <v>38</v>
      </c>
      <c r="C151" s="9" t="s">
        <v>40</v>
      </c>
      <c r="D151" s="9" t="s">
        <v>13</v>
      </c>
      <c r="E151" s="9" t="s">
        <v>14</v>
      </c>
      <c r="F151" s="9">
        <v>180.0</v>
      </c>
      <c r="G151" s="9" t="s">
        <v>59</v>
      </c>
      <c r="H151" s="9">
        <v>2023.0</v>
      </c>
      <c r="I151" s="9" t="s">
        <v>52</v>
      </c>
      <c r="J151" s="9">
        <v>26.50432728160524</v>
      </c>
      <c r="K151" s="9">
        <v>16.170189877599697</v>
      </c>
      <c r="L151" s="15">
        <v>8.21155285273192</v>
      </c>
    </row>
    <row r="152">
      <c r="A152" s="9" t="s">
        <v>25</v>
      </c>
      <c r="B152" s="9" t="s">
        <v>38</v>
      </c>
      <c r="C152" s="9" t="s">
        <v>40</v>
      </c>
      <c r="D152" s="9" t="s">
        <v>13</v>
      </c>
      <c r="E152" s="9" t="s">
        <v>14</v>
      </c>
      <c r="F152" s="9">
        <v>180.0</v>
      </c>
      <c r="G152" s="9" t="s">
        <v>59</v>
      </c>
      <c r="H152" s="9">
        <v>2023.0</v>
      </c>
      <c r="I152" s="9" t="s">
        <v>53</v>
      </c>
      <c r="J152" s="9">
        <v>24.47938726717609</v>
      </c>
      <c r="K152" s="9">
        <v>16.296870176403612</v>
      </c>
      <c r="L152" s="15">
        <v>8.275883697137727</v>
      </c>
    </row>
    <row r="153">
      <c r="A153" s="9" t="s">
        <v>25</v>
      </c>
      <c r="B153" s="9" t="s">
        <v>38</v>
      </c>
      <c r="C153" s="9" t="s">
        <v>40</v>
      </c>
      <c r="D153" s="9" t="s">
        <v>13</v>
      </c>
      <c r="E153" s="9" t="s">
        <v>14</v>
      </c>
      <c r="F153" s="9">
        <v>180.0</v>
      </c>
      <c r="G153" s="9" t="s">
        <v>59</v>
      </c>
      <c r="H153" s="9">
        <v>2023.0</v>
      </c>
      <c r="I153" s="9" t="s">
        <v>54</v>
      </c>
      <c r="J153" s="9">
        <v>24.110300639099638</v>
      </c>
      <c r="K153" s="9">
        <v>14.555932788764277</v>
      </c>
      <c r="L153" s="15">
        <v>7.391800116171175</v>
      </c>
    </row>
    <row r="154">
      <c r="A154" s="9" t="s">
        <v>26</v>
      </c>
      <c r="B154" s="9" t="s">
        <v>38</v>
      </c>
      <c r="C154" s="9" t="s">
        <v>40</v>
      </c>
      <c r="D154" s="9" t="s">
        <v>13</v>
      </c>
      <c r="E154" s="9" t="s">
        <v>14</v>
      </c>
      <c r="F154" s="9">
        <v>180.0</v>
      </c>
      <c r="G154" s="9" t="s">
        <v>59</v>
      </c>
      <c r="H154" s="9">
        <v>2022.0</v>
      </c>
      <c r="I154" s="9" t="s">
        <v>51</v>
      </c>
      <c r="J154" s="9">
        <v>147.33276775739583</v>
      </c>
      <c r="K154" s="9">
        <v>106.4755219096069</v>
      </c>
      <c r="L154" s="15">
        <v>54.070445820438195</v>
      </c>
    </row>
    <row r="155">
      <c r="A155" s="9" t="s">
        <v>26</v>
      </c>
      <c r="B155" s="9" t="s">
        <v>38</v>
      </c>
      <c r="C155" s="9" t="s">
        <v>40</v>
      </c>
      <c r="D155" s="9" t="s">
        <v>13</v>
      </c>
      <c r="E155" s="9" t="s">
        <v>14</v>
      </c>
      <c r="F155" s="9">
        <v>180.0</v>
      </c>
      <c r="G155" s="9" t="s">
        <v>59</v>
      </c>
      <c r="H155" s="9">
        <v>2022.0</v>
      </c>
      <c r="I155" s="9" t="s">
        <v>52</v>
      </c>
      <c r="J155" s="9">
        <v>138.96237487816438</v>
      </c>
      <c r="K155" s="9">
        <v>87.85370357657814</v>
      </c>
      <c r="L155" s="15">
        <v>44.613905939761395</v>
      </c>
    </row>
    <row r="156">
      <c r="A156" s="9" t="s">
        <v>26</v>
      </c>
      <c r="B156" s="9" t="s">
        <v>38</v>
      </c>
      <c r="C156" s="9" t="s">
        <v>40</v>
      </c>
      <c r="D156" s="9" t="s">
        <v>13</v>
      </c>
      <c r="E156" s="9" t="s">
        <v>14</v>
      </c>
      <c r="F156" s="9">
        <v>180.0</v>
      </c>
      <c r="G156" s="9" t="s">
        <v>59</v>
      </c>
      <c r="H156" s="9">
        <v>2022.0</v>
      </c>
      <c r="I156" s="9" t="s">
        <v>53</v>
      </c>
      <c r="J156" s="9">
        <v>138.89861534341992</v>
      </c>
      <c r="K156" s="9">
        <v>89.40685244418052</v>
      </c>
      <c r="L156" s="15">
        <v>45.40262667285218</v>
      </c>
    </row>
    <row r="157">
      <c r="A157" s="9" t="s">
        <v>26</v>
      </c>
      <c r="B157" s="9" t="s">
        <v>38</v>
      </c>
      <c r="C157" s="9" t="s">
        <v>40</v>
      </c>
      <c r="D157" s="9" t="s">
        <v>13</v>
      </c>
      <c r="E157" s="9" t="s">
        <v>14</v>
      </c>
      <c r="F157" s="9">
        <v>180.0</v>
      </c>
      <c r="G157" s="9" t="s">
        <v>59</v>
      </c>
      <c r="H157" s="9">
        <v>2022.0</v>
      </c>
      <c r="I157" s="9" t="s">
        <v>54</v>
      </c>
      <c r="J157" s="9">
        <v>133.4383329765529</v>
      </c>
      <c r="K157" s="9">
        <v>88.87721870534696</v>
      </c>
      <c r="L157" s="15">
        <v>45.13366783736897</v>
      </c>
    </row>
    <row r="158">
      <c r="A158" s="9" t="s">
        <v>26</v>
      </c>
      <c r="B158" s="9" t="s">
        <v>38</v>
      </c>
      <c r="C158" s="9" t="s">
        <v>40</v>
      </c>
      <c r="D158" s="9" t="s">
        <v>13</v>
      </c>
      <c r="E158" s="9" t="s">
        <v>14</v>
      </c>
      <c r="F158" s="9">
        <v>180.0</v>
      </c>
      <c r="G158" s="9" t="s">
        <v>59</v>
      </c>
      <c r="H158" s="9">
        <v>2023.0</v>
      </c>
      <c r="I158" s="9" t="s">
        <v>51</v>
      </c>
      <c r="J158" s="9">
        <v>131.71594692975972</v>
      </c>
      <c r="K158" s="9">
        <v>83.53269416863783</v>
      </c>
      <c r="L158" s="15">
        <v>42.41960906390302</v>
      </c>
    </row>
    <row r="159">
      <c r="A159" s="9" t="s">
        <v>26</v>
      </c>
      <c r="B159" s="9" t="s">
        <v>38</v>
      </c>
      <c r="C159" s="9" t="s">
        <v>40</v>
      </c>
      <c r="D159" s="9" t="s">
        <v>13</v>
      </c>
      <c r="E159" s="9" t="s">
        <v>14</v>
      </c>
      <c r="F159" s="9">
        <v>180.0</v>
      </c>
      <c r="G159" s="9" t="s">
        <v>59</v>
      </c>
      <c r="H159" s="9">
        <v>2023.0</v>
      </c>
      <c r="I159" s="9" t="s">
        <v>52</v>
      </c>
      <c r="J159" s="9">
        <v>132.40003602863425</v>
      </c>
      <c r="K159" s="9">
        <v>93.01761991787791</v>
      </c>
      <c r="L159" s="15">
        <v>47.2362481809252</v>
      </c>
    </row>
    <row r="160">
      <c r="A160" s="9" t="s">
        <v>26</v>
      </c>
      <c r="B160" s="9" t="s">
        <v>38</v>
      </c>
      <c r="C160" s="9" t="s">
        <v>40</v>
      </c>
      <c r="D160" s="9" t="s">
        <v>13</v>
      </c>
      <c r="E160" s="9" t="s">
        <v>14</v>
      </c>
      <c r="F160" s="9">
        <v>180.0</v>
      </c>
      <c r="G160" s="9" t="s">
        <v>59</v>
      </c>
      <c r="H160" s="9">
        <v>2023.0</v>
      </c>
      <c r="I160" s="9" t="s">
        <v>53</v>
      </c>
      <c r="J160" s="9">
        <v>120.490355723686</v>
      </c>
      <c r="K160" s="9">
        <v>83.37227228642271</v>
      </c>
      <c r="L160" s="15">
        <v>42.33814355394207</v>
      </c>
    </row>
    <row r="161">
      <c r="A161" s="9" t="s">
        <v>26</v>
      </c>
      <c r="B161" s="9" t="s">
        <v>38</v>
      </c>
      <c r="C161" s="9" t="s">
        <v>40</v>
      </c>
      <c r="D161" s="9" t="s">
        <v>13</v>
      </c>
      <c r="E161" s="9" t="s">
        <v>14</v>
      </c>
      <c r="F161" s="9">
        <v>180.0</v>
      </c>
      <c r="G161" s="9" t="s">
        <v>59</v>
      </c>
      <c r="H161" s="9">
        <v>2023.0</v>
      </c>
      <c r="I161" s="9" t="s">
        <v>54</v>
      </c>
      <c r="J161" s="9">
        <v>113.81292421027752</v>
      </c>
      <c r="K161" s="9">
        <v>84.85750621366896</v>
      </c>
      <c r="L161" s="15">
        <v>43.09237569249896</v>
      </c>
    </row>
    <row r="162">
      <c r="A162" s="9" t="s">
        <v>10</v>
      </c>
      <c r="B162" s="9" t="s">
        <v>38</v>
      </c>
      <c r="C162" s="9" t="s">
        <v>40</v>
      </c>
      <c r="D162" s="9" t="s">
        <v>13</v>
      </c>
      <c r="E162" s="9" t="s">
        <v>29</v>
      </c>
      <c r="F162" s="9">
        <v>220.0</v>
      </c>
      <c r="G162" s="9" t="s">
        <v>60</v>
      </c>
      <c r="H162" s="9">
        <v>2022.0</v>
      </c>
      <c r="I162" s="9" t="s">
        <v>51</v>
      </c>
      <c r="J162" s="9">
        <v>12.987083494145558</v>
      </c>
      <c r="K162" s="16">
        <v>8.65805566276371</v>
      </c>
      <c r="L162" s="15">
        <v>3.38416809832853</v>
      </c>
    </row>
    <row r="163">
      <c r="A163" s="9" t="s">
        <v>10</v>
      </c>
      <c r="B163" s="9" t="s">
        <v>38</v>
      </c>
      <c r="C163" s="9" t="s">
        <v>40</v>
      </c>
      <c r="D163" s="9" t="s">
        <v>13</v>
      </c>
      <c r="E163" s="9" t="s">
        <v>29</v>
      </c>
      <c r="F163" s="9">
        <v>220.0</v>
      </c>
      <c r="G163" s="9" t="s">
        <v>60</v>
      </c>
      <c r="H163" s="9">
        <v>2022.0</v>
      </c>
      <c r="I163" s="9" t="s">
        <v>52</v>
      </c>
      <c r="J163" s="9">
        <v>19.910984161176714</v>
      </c>
      <c r="K163" s="16">
        <v>13.273989440784476</v>
      </c>
      <c r="L163" s="15">
        <v>5.1883948721015</v>
      </c>
    </row>
    <row r="164">
      <c r="A164" s="9" t="s">
        <v>10</v>
      </c>
      <c r="B164" s="9" t="s">
        <v>38</v>
      </c>
      <c r="C164" s="9" t="s">
        <v>40</v>
      </c>
      <c r="D164" s="9" t="s">
        <v>13</v>
      </c>
      <c r="E164" s="9" t="s">
        <v>29</v>
      </c>
      <c r="F164" s="9">
        <v>220.0</v>
      </c>
      <c r="G164" s="9" t="s">
        <v>60</v>
      </c>
      <c r="H164" s="9">
        <v>2022.0</v>
      </c>
      <c r="I164" s="9" t="s">
        <v>53</v>
      </c>
      <c r="J164" s="9">
        <v>18.17754818790435</v>
      </c>
      <c r="K164" s="16">
        <v>12.118365458602891</v>
      </c>
      <c r="L164" s="15">
        <v>4.73669694285604</v>
      </c>
    </row>
    <row r="165">
      <c r="A165" s="9" t="s">
        <v>10</v>
      </c>
      <c r="B165" s="9" t="s">
        <v>38</v>
      </c>
      <c r="C165" s="9" t="s">
        <v>40</v>
      </c>
      <c r="D165" s="9" t="s">
        <v>13</v>
      </c>
      <c r="E165" s="9" t="s">
        <v>29</v>
      </c>
      <c r="F165" s="9">
        <v>220.0</v>
      </c>
      <c r="G165" s="9" t="s">
        <v>60</v>
      </c>
      <c r="H165" s="9">
        <v>2022.0</v>
      </c>
      <c r="I165" s="9" t="s">
        <v>54</v>
      </c>
      <c r="J165" s="9">
        <v>19.288072280842925</v>
      </c>
      <c r="K165" s="16">
        <v>12.85871485389529</v>
      </c>
      <c r="L165" s="15">
        <v>5.02607678779522</v>
      </c>
    </row>
    <row r="166">
      <c r="A166" s="9" t="s">
        <v>10</v>
      </c>
      <c r="B166" s="9" t="s">
        <v>38</v>
      </c>
      <c r="C166" s="9" t="s">
        <v>40</v>
      </c>
      <c r="D166" s="9" t="s">
        <v>13</v>
      </c>
      <c r="E166" s="9" t="s">
        <v>29</v>
      </c>
      <c r="F166" s="9">
        <v>220.0</v>
      </c>
      <c r="G166" s="9" t="s">
        <v>60</v>
      </c>
      <c r="H166" s="9">
        <v>2023.0</v>
      </c>
      <c r="I166" s="9" t="s">
        <v>51</v>
      </c>
      <c r="J166" s="9">
        <v>24.75185471031557</v>
      </c>
      <c r="K166" s="16">
        <v>16.501236473543717</v>
      </c>
      <c r="L166" s="15">
        <v>6.44982663912747</v>
      </c>
    </row>
    <row r="167">
      <c r="A167" s="9" t="s">
        <v>10</v>
      </c>
      <c r="B167" s="9" t="s">
        <v>38</v>
      </c>
      <c r="C167" s="9" t="s">
        <v>40</v>
      </c>
      <c r="D167" s="9" t="s">
        <v>13</v>
      </c>
      <c r="E167" s="9" t="s">
        <v>29</v>
      </c>
      <c r="F167" s="9">
        <v>220.0</v>
      </c>
      <c r="G167" s="9" t="s">
        <v>60</v>
      </c>
      <c r="H167" s="9">
        <v>2023.0</v>
      </c>
      <c r="I167" s="9" t="s">
        <v>52</v>
      </c>
      <c r="J167" s="9">
        <v>30.541711065593887</v>
      </c>
      <c r="K167" s="16">
        <v>20.361140710395915</v>
      </c>
      <c r="L167" s="15">
        <v>7.95854468042367</v>
      </c>
    </row>
    <row r="168">
      <c r="A168" s="9" t="s">
        <v>10</v>
      </c>
      <c r="B168" s="9" t="s">
        <v>38</v>
      </c>
      <c r="C168" s="9" t="s">
        <v>40</v>
      </c>
      <c r="D168" s="9" t="s">
        <v>13</v>
      </c>
      <c r="E168" s="9" t="s">
        <v>29</v>
      </c>
      <c r="F168" s="9">
        <v>220.0</v>
      </c>
      <c r="G168" s="9" t="s">
        <v>60</v>
      </c>
      <c r="H168" s="9">
        <v>2023.0</v>
      </c>
      <c r="I168" s="9" t="s">
        <v>53</v>
      </c>
      <c r="J168" s="9">
        <v>28.559470091518236</v>
      </c>
      <c r="K168" s="16">
        <v>19.039646727678807</v>
      </c>
      <c r="L168" s="15">
        <v>7.44201326128784</v>
      </c>
    </row>
    <row r="169">
      <c r="A169" s="9" t="s">
        <v>10</v>
      </c>
      <c r="B169" s="9" t="s">
        <v>38</v>
      </c>
      <c r="C169" s="9" t="s">
        <v>40</v>
      </c>
      <c r="D169" s="9" t="s">
        <v>13</v>
      </c>
      <c r="E169" s="9" t="s">
        <v>29</v>
      </c>
      <c r="F169" s="9">
        <v>220.0</v>
      </c>
      <c r="G169" s="9" t="s">
        <v>60</v>
      </c>
      <c r="H169" s="9">
        <v>2023.0</v>
      </c>
      <c r="I169" s="9" t="s">
        <v>54</v>
      </c>
      <c r="J169" s="9">
        <v>26.041887094937778</v>
      </c>
      <c r="K169" s="16">
        <v>17.361258063291853</v>
      </c>
      <c r="L169" s="15">
        <v>6.78598267014222</v>
      </c>
    </row>
    <row r="170">
      <c r="A170" s="9" t="s">
        <v>24</v>
      </c>
      <c r="B170" s="9" t="s">
        <v>38</v>
      </c>
      <c r="C170" s="9" t="s">
        <v>40</v>
      </c>
      <c r="D170" s="9" t="s">
        <v>13</v>
      </c>
      <c r="E170" s="9" t="s">
        <v>29</v>
      </c>
      <c r="F170" s="9">
        <v>220.0</v>
      </c>
      <c r="G170" s="9" t="s">
        <v>60</v>
      </c>
      <c r="H170" s="9">
        <v>2022.0</v>
      </c>
      <c r="I170" s="9" t="s">
        <v>51</v>
      </c>
      <c r="J170" s="9">
        <v>0.4886400445194601</v>
      </c>
      <c r="K170" s="16">
        <v>0.3257600296796464</v>
      </c>
      <c r="L170" s="15">
        <v>0.12732959258898</v>
      </c>
    </row>
    <row r="171">
      <c r="A171" s="9" t="s">
        <v>24</v>
      </c>
      <c r="B171" s="9" t="s">
        <v>38</v>
      </c>
      <c r="C171" s="9" t="s">
        <v>40</v>
      </c>
      <c r="D171" s="9" t="s">
        <v>13</v>
      </c>
      <c r="E171" s="9" t="s">
        <v>29</v>
      </c>
      <c r="F171" s="9">
        <v>220.0</v>
      </c>
      <c r="G171" s="9" t="s">
        <v>60</v>
      </c>
      <c r="H171" s="9">
        <v>2022.0</v>
      </c>
      <c r="I171" s="9" t="s">
        <v>52</v>
      </c>
      <c r="J171" s="9">
        <v>1.6449703115120164</v>
      </c>
      <c r="K171" s="16">
        <v>1.0966468743413527</v>
      </c>
      <c r="L171" s="15">
        <v>0.42864558878258</v>
      </c>
    </row>
    <row r="172">
      <c r="A172" s="9" t="s">
        <v>24</v>
      </c>
      <c r="B172" s="9" t="s">
        <v>38</v>
      </c>
      <c r="C172" s="9" t="s">
        <v>40</v>
      </c>
      <c r="D172" s="9" t="s">
        <v>13</v>
      </c>
      <c r="E172" s="9" t="s">
        <v>29</v>
      </c>
      <c r="F172" s="9">
        <v>220.0</v>
      </c>
      <c r="G172" s="9" t="s">
        <v>60</v>
      </c>
      <c r="H172" s="9">
        <v>2022.0</v>
      </c>
      <c r="I172" s="9" t="s">
        <v>53</v>
      </c>
      <c r="J172" s="9">
        <v>2.3570345473144507</v>
      </c>
      <c r="K172" s="16">
        <v>1.5713563648763091</v>
      </c>
      <c r="L172" s="15">
        <v>0.61419495187473</v>
      </c>
    </row>
    <row r="173">
      <c r="A173" s="9" t="s">
        <v>24</v>
      </c>
      <c r="B173" s="9" t="s">
        <v>38</v>
      </c>
      <c r="C173" s="9" t="s">
        <v>40</v>
      </c>
      <c r="D173" s="9" t="s">
        <v>13</v>
      </c>
      <c r="E173" s="9" t="s">
        <v>29</v>
      </c>
      <c r="F173" s="9">
        <v>220.0</v>
      </c>
      <c r="G173" s="9" t="s">
        <v>60</v>
      </c>
      <c r="H173" s="9">
        <v>2022.0</v>
      </c>
      <c r="I173" s="9" t="s">
        <v>54</v>
      </c>
      <c r="J173" s="9">
        <v>2.207673811405275</v>
      </c>
      <c r="K173" s="16">
        <v>1.4717825409368581</v>
      </c>
      <c r="L173" s="15">
        <v>0.57527460167951</v>
      </c>
    </row>
    <row r="174">
      <c r="A174" s="9" t="s">
        <v>24</v>
      </c>
      <c r="B174" s="9" t="s">
        <v>38</v>
      </c>
      <c r="C174" s="9" t="s">
        <v>40</v>
      </c>
      <c r="D174" s="9" t="s">
        <v>13</v>
      </c>
      <c r="E174" s="9" t="s">
        <v>29</v>
      </c>
      <c r="F174" s="9">
        <v>220.0</v>
      </c>
      <c r="G174" s="9" t="s">
        <v>60</v>
      </c>
      <c r="H174" s="9">
        <v>2023.0</v>
      </c>
      <c r="I174" s="9" t="s">
        <v>51</v>
      </c>
      <c r="J174" s="9">
        <v>2.059393322019641</v>
      </c>
      <c r="K174" s="16">
        <v>1.3729288813464344</v>
      </c>
      <c r="L174" s="15">
        <v>0.53663574161446</v>
      </c>
    </row>
    <row r="175">
      <c r="A175" s="9" t="s">
        <v>24</v>
      </c>
      <c r="B175" s="9" t="s">
        <v>38</v>
      </c>
      <c r="C175" s="9" t="s">
        <v>40</v>
      </c>
      <c r="D175" s="9" t="s">
        <v>13</v>
      </c>
      <c r="E175" s="9" t="s">
        <v>29</v>
      </c>
      <c r="F175" s="9">
        <v>220.0</v>
      </c>
      <c r="G175" s="9" t="s">
        <v>60</v>
      </c>
      <c r="H175" s="9">
        <v>2023.0</v>
      </c>
      <c r="I175" s="9" t="s">
        <v>52</v>
      </c>
      <c r="J175" s="9">
        <v>2.0449027026814828</v>
      </c>
      <c r="K175" s="16">
        <v>1.363268468454313</v>
      </c>
      <c r="L175" s="15">
        <v>0.53285978285425</v>
      </c>
    </row>
    <row r="176">
      <c r="A176" s="9" t="s">
        <v>24</v>
      </c>
      <c r="B176" s="9" t="s">
        <v>38</v>
      </c>
      <c r="C176" s="9" t="s">
        <v>40</v>
      </c>
      <c r="D176" s="9" t="s">
        <v>13</v>
      </c>
      <c r="E176" s="9" t="s">
        <v>29</v>
      </c>
      <c r="F176" s="9">
        <v>220.0</v>
      </c>
      <c r="G176" s="9" t="s">
        <v>60</v>
      </c>
      <c r="H176" s="9">
        <v>2023.0</v>
      </c>
      <c r="I176" s="9" t="s">
        <v>53</v>
      </c>
      <c r="J176" s="9">
        <v>3.4102743749022646</v>
      </c>
      <c r="K176" s="16">
        <v>2.2735162499348465</v>
      </c>
      <c r="L176" s="15">
        <v>0.88864768993701</v>
      </c>
    </row>
    <row r="177">
      <c r="A177" s="9" t="s">
        <v>24</v>
      </c>
      <c r="B177" s="9" t="s">
        <v>38</v>
      </c>
      <c r="C177" s="9" t="s">
        <v>40</v>
      </c>
      <c r="D177" s="9" t="s">
        <v>13</v>
      </c>
      <c r="E177" s="9" t="s">
        <v>29</v>
      </c>
      <c r="F177" s="9">
        <v>220.0</v>
      </c>
      <c r="G177" s="9" t="s">
        <v>60</v>
      </c>
      <c r="H177" s="9">
        <v>2023.0</v>
      </c>
      <c r="I177" s="9" t="s">
        <v>54</v>
      </c>
      <c r="J177" s="9">
        <v>1.7345298974249757</v>
      </c>
      <c r="K177" s="16">
        <v>1.156353264949994</v>
      </c>
      <c r="L177" s="15">
        <v>0.45198298348577</v>
      </c>
    </row>
    <row r="178">
      <c r="A178" s="9" t="s">
        <v>25</v>
      </c>
      <c r="B178" s="9" t="s">
        <v>38</v>
      </c>
      <c r="C178" s="9" t="s">
        <v>40</v>
      </c>
      <c r="D178" s="9" t="s">
        <v>13</v>
      </c>
      <c r="E178" s="9" t="s">
        <v>29</v>
      </c>
      <c r="F178" s="9">
        <v>220.0</v>
      </c>
      <c r="G178" s="9" t="s">
        <v>60</v>
      </c>
      <c r="H178" s="9">
        <v>2022.0</v>
      </c>
      <c r="I178" s="9" t="s">
        <v>51</v>
      </c>
      <c r="J178" s="9">
        <v>6.567908190858635</v>
      </c>
      <c r="K178" s="16">
        <v>4.3786054605724125</v>
      </c>
      <c r="L178" s="15">
        <v>1.71146242204988</v>
      </c>
    </row>
    <row r="179">
      <c r="A179" s="9" t="s">
        <v>25</v>
      </c>
      <c r="B179" s="9" t="s">
        <v>38</v>
      </c>
      <c r="C179" s="9" t="s">
        <v>40</v>
      </c>
      <c r="D179" s="9" t="s">
        <v>13</v>
      </c>
      <c r="E179" s="9" t="s">
        <v>29</v>
      </c>
      <c r="F179" s="9">
        <v>220.0</v>
      </c>
      <c r="G179" s="9" t="s">
        <v>60</v>
      </c>
      <c r="H179" s="9">
        <v>2022.0</v>
      </c>
      <c r="I179" s="9" t="s">
        <v>52</v>
      </c>
      <c r="J179" s="9">
        <v>8.79893509153541</v>
      </c>
      <c r="K179" s="16">
        <v>5.865956727690276</v>
      </c>
      <c r="L179" s="15">
        <v>2.29282236072947</v>
      </c>
    </row>
    <row r="180">
      <c r="A180" s="9" t="s">
        <v>25</v>
      </c>
      <c r="B180" s="9" t="s">
        <v>38</v>
      </c>
      <c r="C180" s="9" t="s">
        <v>40</v>
      </c>
      <c r="D180" s="9" t="s">
        <v>13</v>
      </c>
      <c r="E180" s="9" t="s">
        <v>29</v>
      </c>
      <c r="F180" s="9">
        <v>220.0</v>
      </c>
      <c r="G180" s="9" t="s">
        <v>60</v>
      </c>
      <c r="H180" s="9">
        <v>2022.0</v>
      </c>
      <c r="I180" s="9" t="s">
        <v>53</v>
      </c>
      <c r="J180" s="9">
        <v>8.01890917056193</v>
      </c>
      <c r="K180" s="16">
        <v>5.345939447041296</v>
      </c>
      <c r="L180" s="15">
        <v>2.08956357373409</v>
      </c>
    </row>
    <row r="181">
      <c r="A181" s="9" t="s">
        <v>25</v>
      </c>
      <c r="B181" s="9" t="s">
        <v>38</v>
      </c>
      <c r="C181" s="9" t="s">
        <v>40</v>
      </c>
      <c r="D181" s="9" t="s">
        <v>13</v>
      </c>
      <c r="E181" s="9" t="s">
        <v>29</v>
      </c>
      <c r="F181" s="9">
        <v>220.0</v>
      </c>
      <c r="G181" s="9" t="s">
        <v>60</v>
      </c>
      <c r="H181" s="9">
        <v>2022.0</v>
      </c>
      <c r="I181" s="9" t="s">
        <v>54</v>
      </c>
      <c r="J181" s="9">
        <v>8.940811031588707</v>
      </c>
      <c r="K181" s="16">
        <v>5.960540687725806</v>
      </c>
      <c r="L181" s="15">
        <v>2.32979232634686</v>
      </c>
    </row>
    <row r="182">
      <c r="A182" s="9" t="s">
        <v>25</v>
      </c>
      <c r="B182" s="9" t="s">
        <v>38</v>
      </c>
      <c r="C182" s="9" t="s">
        <v>40</v>
      </c>
      <c r="D182" s="9" t="s">
        <v>13</v>
      </c>
      <c r="E182" s="9" t="s">
        <v>29</v>
      </c>
      <c r="F182" s="9">
        <v>220.0</v>
      </c>
      <c r="G182" s="9" t="s">
        <v>60</v>
      </c>
      <c r="H182" s="9">
        <v>2023.0</v>
      </c>
      <c r="I182" s="9" t="s">
        <v>51</v>
      </c>
      <c r="J182" s="9">
        <v>10.361899744402107</v>
      </c>
      <c r="K182" s="16">
        <v>6.9079331629347305</v>
      </c>
      <c r="L182" s="15">
        <v>2.70009895361739</v>
      </c>
    </row>
    <row r="183">
      <c r="A183" s="9" t="s">
        <v>25</v>
      </c>
      <c r="B183" s="9" t="s">
        <v>38</v>
      </c>
      <c r="C183" s="9" t="s">
        <v>40</v>
      </c>
      <c r="D183" s="9" t="s">
        <v>13</v>
      </c>
      <c r="E183" s="9" t="s">
        <v>29</v>
      </c>
      <c r="F183" s="9">
        <v>220.0</v>
      </c>
      <c r="G183" s="9" t="s">
        <v>60</v>
      </c>
      <c r="H183" s="9">
        <v>2023.0</v>
      </c>
      <c r="I183" s="9" t="s">
        <v>52</v>
      </c>
      <c r="J183" s="9">
        <v>10.645269419825107</v>
      </c>
      <c r="K183" s="16">
        <v>7.096846279883405</v>
      </c>
      <c r="L183" s="15">
        <v>2.77393929013579</v>
      </c>
    </row>
    <row r="184">
      <c r="A184" s="9" t="s">
        <v>25</v>
      </c>
      <c r="B184" s="9" t="s">
        <v>38</v>
      </c>
      <c r="C184" s="9" t="s">
        <v>40</v>
      </c>
      <c r="D184" s="9" t="s">
        <v>13</v>
      </c>
      <c r="E184" s="9" t="s">
        <v>29</v>
      </c>
      <c r="F184" s="9">
        <v>220.0</v>
      </c>
      <c r="G184" s="9" t="s">
        <v>60</v>
      </c>
      <c r="H184" s="9">
        <v>2023.0</v>
      </c>
      <c r="I184" s="9" t="s">
        <v>53</v>
      </c>
      <c r="J184" s="9">
        <v>10.78486528052279</v>
      </c>
      <c r="K184" s="16">
        <v>7.189910187015186</v>
      </c>
      <c r="L184" s="15">
        <v>2.8103151137489</v>
      </c>
    </row>
    <row r="185">
      <c r="A185" s="9" t="s">
        <v>25</v>
      </c>
      <c r="B185" s="9" t="s">
        <v>38</v>
      </c>
      <c r="C185" s="9" t="s">
        <v>40</v>
      </c>
      <c r="D185" s="9" t="s">
        <v>13</v>
      </c>
      <c r="E185" s="9" t="s">
        <v>29</v>
      </c>
      <c r="F185" s="9">
        <v>220.0</v>
      </c>
      <c r="G185" s="9" t="s">
        <v>60</v>
      </c>
      <c r="H185" s="9">
        <v>2023.0</v>
      </c>
      <c r="I185" s="9" t="s">
        <v>54</v>
      </c>
      <c r="J185" s="9">
        <v>6.699070778579422</v>
      </c>
      <c r="K185" s="16">
        <v>4.4660471857196224</v>
      </c>
      <c r="L185" s="15">
        <v>1.74564070736383</v>
      </c>
    </row>
    <row r="186">
      <c r="A186" s="9" t="s">
        <v>26</v>
      </c>
      <c r="B186" s="9" t="s">
        <v>38</v>
      </c>
      <c r="C186" s="9" t="s">
        <v>40</v>
      </c>
      <c r="D186" s="9" t="s">
        <v>13</v>
      </c>
      <c r="E186" s="9" t="s">
        <v>29</v>
      </c>
      <c r="F186" s="9">
        <v>220.0</v>
      </c>
      <c r="G186" s="9" t="s">
        <v>60</v>
      </c>
      <c r="H186" s="9">
        <v>2022.0</v>
      </c>
      <c r="I186" s="9" t="s">
        <v>51</v>
      </c>
      <c r="J186" s="9">
        <v>46.2816343799325</v>
      </c>
      <c r="K186" s="16">
        <v>30.85442291995507</v>
      </c>
      <c r="L186" s="15">
        <v>12.0600464821588</v>
      </c>
    </row>
    <row r="187">
      <c r="A187" s="9" t="s">
        <v>26</v>
      </c>
      <c r="B187" s="9" t="s">
        <v>38</v>
      </c>
      <c r="C187" s="9" t="s">
        <v>40</v>
      </c>
      <c r="D187" s="9" t="s">
        <v>13</v>
      </c>
      <c r="E187" s="9" t="s">
        <v>29</v>
      </c>
      <c r="F187" s="9">
        <v>220.0</v>
      </c>
      <c r="G187" s="9" t="s">
        <v>60</v>
      </c>
      <c r="H187" s="9">
        <v>2022.0</v>
      </c>
      <c r="I187" s="9" t="s">
        <v>52</v>
      </c>
      <c r="J187" s="9">
        <v>63.385983111183165</v>
      </c>
      <c r="K187" s="16">
        <v>42.25732207412215</v>
      </c>
      <c r="L187" s="15">
        <v>16.5170896162141</v>
      </c>
    </row>
    <row r="188">
      <c r="A188" s="9" t="s">
        <v>26</v>
      </c>
      <c r="B188" s="9" t="s">
        <v>38</v>
      </c>
      <c r="C188" s="9" t="s">
        <v>40</v>
      </c>
      <c r="D188" s="9" t="s">
        <v>13</v>
      </c>
      <c r="E188" s="9" t="s">
        <v>29</v>
      </c>
      <c r="F188" s="9">
        <v>220.0</v>
      </c>
      <c r="G188" s="9" t="s">
        <v>60</v>
      </c>
      <c r="H188" s="9">
        <v>2022.0</v>
      </c>
      <c r="I188" s="9" t="s">
        <v>53</v>
      </c>
      <c r="J188" s="9">
        <v>56.974201656966656</v>
      </c>
      <c r="K188" s="16">
        <v>37.98280110464454</v>
      </c>
      <c r="L188" s="15">
        <v>14.8463106256428</v>
      </c>
    </row>
    <row r="189">
      <c r="A189" s="9" t="s">
        <v>26</v>
      </c>
      <c r="B189" s="9" t="s">
        <v>38</v>
      </c>
      <c r="C189" s="9" t="s">
        <v>40</v>
      </c>
      <c r="D189" s="9" t="s">
        <v>13</v>
      </c>
      <c r="E189" s="9" t="s">
        <v>29</v>
      </c>
      <c r="F189" s="9">
        <v>220.0</v>
      </c>
      <c r="G189" s="9" t="s">
        <v>60</v>
      </c>
      <c r="H189" s="9">
        <v>2022.0</v>
      </c>
      <c r="I189" s="9" t="s">
        <v>54</v>
      </c>
      <c r="J189" s="9">
        <v>62.77595153584816</v>
      </c>
      <c r="K189" s="16">
        <v>41.85063435723207</v>
      </c>
      <c r="L189" s="15">
        <v>16.3581278757161</v>
      </c>
    </row>
    <row r="190">
      <c r="A190" s="9" t="s">
        <v>26</v>
      </c>
      <c r="B190" s="9" t="s">
        <v>38</v>
      </c>
      <c r="C190" s="9" t="s">
        <v>40</v>
      </c>
      <c r="D190" s="9" t="s">
        <v>13</v>
      </c>
      <c r="E190" s="9" t="s">
        <v>29</v>
      </c>
      <c r="F190" s="9">
        <v>220.0</v>
      </c>
      <c r="G190" s="9" t="s">
        <v>60</v>
      </c>
      <c r="H190" s="9">
        <v>2023.0</v>
      </c>
      <c r="I190" s="9" t="s">
        <v>51</v>
      </c>
      <c r="J190" s="9">
        <v>75.95711218609922</v>
      </c>
      <c r="K190" s="16">
        <v>50.63807479073288</v>
      </c>
      <c r="L190" s="15">
        <v>19.7928685079475</v>
      </c>
    </row>
    <row r="191">
      <c r="A191" s="9" t="s">
        <v>26</v>
      </c>
      <c r="B191" s="9" t="s">
        <v>38</v>
      </c>
      <c r="C191" s="9" t="s">
        <v>40</v>
      </c>
      <c r="D191" s="9" t="s">
        <v>13</v>
      </c>
      <c r="E191" s="9" t="s">
        <v>29</v>
      </c>
      <c r="F191" s="9">
        <v>220.0</v>
      </c>
      <c r="G191" s="9" t="s">
        <v>60</v>
      </c>
      <c r="H191" s="9">
        <v>2023.0</v>
      </c>
      <c r="I191" s="9" t="s">
        <v>52</v>
      </c>
      <c r="J191" s="9">
        <v>78.63691735678388</v>
      </c>
      <c r="K191" s="16">
        <v>52.42461157118925</v>
      </c>
      <c r="L191" s="15">
        <v>20.4911708767938</v>
      </c>
    </row>
    <row r="192">
      <c r="A192" s="9" t="s">
        <v>26</v>
      </c>
      <c r="B192" s="9" t="s">
        <v>38</v>
      </c>
      <c r="C192" s="9" t="s">
        <v>40</v>
      </c>
      <c r="D192" s="9" t="s">
        <v>13</v>
      </c>
      <c r="E192" s="9" t="s">
        <v>29</v>
      </c>
      <c r="F192" s="9">
        <v>220.0</v>
      </c>
      <c r="G192" s="9" t="s">
        <v>60</v>
      </c>
      <c r="H192" s="9">
        <v>2023.0</v>
      </c>
      <c r="I192" s="9" t="s">
        <v>53</v>
      </c>
      <c r="J192" s="9">
        <v>78.00086600256466</v>
      </c>
      <c r="K192" s="16">
        <v>52.00057733504305</v>
      </c>
      <c r="L192" s="15">
        <v>20.3254289145728</v>
      </c>
    </row>
    <row r="193">
      <c r="A193" s="9" t="s">
        <v>26</v>
      </c>
      <c r="B193" s="9" t="s">
        <v>38</v>
      </c>
      <c r="C193" s="9" t="s">
        <v>40</v>
      </c>
      <c r="D193" s="9" t="s">
        <v>13</v>
      </c>
      <c r="E193" s="9" t="s">
        <v>29</v>
      </c>
      <c r="F193" s="9">
        <v>220.0</v>
      </c>
      <c r="G193" s="9" t="s">
        <v>60</v>
      </c>
      <c r="H193" s="9">
        <v>2023.0</v>
      </c>
      <c r="I193" s="9" t="s">
        <v>54</v>
      </c>
      <c r="J193" s="9">
        <v>73.26973252514576</v>
      </c>
      <c r="K193" s="16">
        <v>48.84648835009729</v>
      </c>
      <c r="L193" s="15">
        <v>19.0925923819955</v>
      </c>
    </row>
    <row r="194">
      <c r="L194" s="15"/>
    </row>
    <row r="195">
      <c r="L195" s="15"/>
    </row>
    <row r="196">
      <c r="L196" s="15"/>
    </row>
    <row r="197">
      <c r="L197" s="15"/>
    </row>
    <row r="198">
      <c r="L198" s="15"/>
    </row>
    <row r="199">
      <c r="L199" s="15"/>
    </row>
    <row r="200">
      <c r="L200" s="15"/>
    </row>
    <row r="201">
      <c r="L201" s="15"/>
    </row>
    <row r="202">
      <c r="L202" s="15"/>
    </row>
    <row r="203">
      <c r="L203" s="15"/>
    </row>
    <row r="204">
      <c r="L204" s="15"/>
    </row>
    <row r="205">
      <c r="L205" s="15"/>
    </row>
    <row r="206">
      <c r="L206" s="15"/>
    </row>
    <row r="207">
      <c r="L207" s="15"/>
    </row>
    <row r="208">
      <c r="L208" s="15"/>
    </row>
    <row r="209">
      <c r="L209" s="15"/>
    </row>
    <row r="210">
      <c r="L210" s="15"/>
    </row>
    <row r="211">
      <c r="L211" s="15"/>
    </row>
    <row r="212">
      <c r="L212" s="15"/>
    </row>
    <row r="213">
      <c r="L213" s="15"/>
    </row>
    <row r="214">
      <c r="L214" s="15"/>
    </row>
    <row r="215">
      <c r="L215" s="15"/>
    </row>
    <row r="216">
      <c r="L216" s="15"/>
    </row>
    <row r="217">
      <c r="L217" s="15"/>
    </row>
    <row r="218">
      <c r="L218" s="15"/>
    </row>
    <row r="219">
      <c r="L219" s="15"/>
    </row>
    <row r="220">
      <c r="L220" s="15"/>
    </row>
    <row r="221">
      <c r="L221" s="15"/>
    </row>
    <row r="222">
      <c r="L222" s="15"/>
    </row>
    <row r="223">
      <c r="L223" s="15"/>
    </row>
    <row r="224">
      <c r="L224" s="15"/>
    </row>
    <row r="225">
      <c r="L225" s="15"/>
    </row>
    <row r="226">
      <c r="L226" s="15"/>
    </row>
    <row r="227">
      <c r="L227" s="15"/>
    </row>
    <row r="228">
      <c r="L228" s="15"/>
    </row>
    <row r="229">
      <c r="L229" s="15"/>
    </row>
    <row r="230">
      <c r="L230" s="15"/>
    </row>
    <row r="231">
      <c r="L231" s="15"/>
    </row>
    <row r="232">
      <c r="L232" s="15"/>
    </row>
    <row r="233">
      <c r="L233" s="15"/>
    </row>
    <row r="234">
      <c r="L234" s="15"/>
    </row>
    <row r="235">
      <c r="L235" s="15"/>
    </row>
    <row r="236">
      <c r="L236" s="15"/>
    </row>
    <row r="237">
      <c r="L237" s="15"/>
    </row>
    <row r="238">
      <c r="L238" s="15"/>
    </row>
    <row r="239">
      <c r="L239" s="15"/>
    </row>
    <row r="240">
      <c r="L240" s="15"/>
    </row>
    <row r="241">
      <c r="L241" s="15"/>
    </row>
    <row r="242">
      <c r="L242" s="15"/>
    </row>
    <row r="243">
      <c r="L243" s="15"/>
    </row>
    <row r="244">
      <c r="L244" s="15"/>
    </row>
    <row r="245">
      <c r="L245" s="15"/>
    </row>
    <row r="246">
      <c r="L246" s="15"/>
    </row>
    <row r="247">
      <c r="L247" s="15"/>
    </row>
    <row r="248">
      <c r="L248" s="15"/>
    </row>
    <row r="249">
      <c r="L249" s="15"/>
    </row>
    <row r="250">
      <c r="L250" s="15"/>
    </row>
    <row r="251">
      <c r="L251" s="15"/>
    </row>
    <row r="252">
      <c r="L252" s="15"/>
    </row>
    <row r="253">
      <c r="L253" s="15"/>
    </row>
    <row r="254">
      <c r="L254" s="15"/>
    </row>
    <row r="255">
      <c r="L255" s="15"/>
    </row>
    <row r="256">
      <c r="L256" s="15"/>
    </row>
    <row r="257">
      <c r="L257" s="15"/>
    </row>
    <row r="258">
      <c r="L258" s="15"/>
    </row>
    <row r="259">
      <c r="L259" s="15"/>
    </row>
    <row r="260">
      <c r="L260" s="15"/>
    </row>
    <row r="261">
      <c r="L261" s="15"/>
    </row>
    <row r="262">
      <c r="L262" s="15"/>
    </row>
    <row r="263">
      <c r="L263" s="15"/>
    </row>
    <row r="264">
      <c r="L264" s="15"/>
    </row>
    <row r="265">
      <c r="L265" s="15"/>
    </row>
    <row r="266">
      <c r="L266" s="15"/>
    </row>
    <row r="267">
      <c r="L267" s="15"/>
    </row>
    <row r="268">
      <c r="L268" s="15"/>
    </row>
    <row r="269">
      <c r="L269" s="15"/>
    </row>
    <row r="270">
      <c r="L270" s="15"/>
    </row>
    <row r="271">
      <c r="L271" s="15"/>
    </row>
    <row r="272">
      <c r="L272" s="15"/>
    </row>
    <row r="273">
      <c r="L273" s="15"/>
    </row>
    <row r="274">
      <c r="L274" s="15"/>
    </row>
    <row r="275">
      <c r="L275" s="15"/>
    </row>
    <row r="276">
      <c r="L276" s="15"/>
    </row>
    <row r="277">
      <c r="L277" s="15"/>
    </row>
    <row r="278">
      <c r="L278" s="15"/>
    </row>
    <row r="279">
      <c r="L279" s="15"/>
    </row>
    <row r="280">
      <c r="L280" s="15"/>
    </row>
    <row r="281">
      <c r="L281" s="15"/>
    </row>
    <row r="282">
      <c r="L282" s="15"/>
    </row>
    <row r="283">
      <c r="L283" s="15"/>
    </row>
    <row r="284">
      <c r="L284" s="15"/>
    </row>
    <row r="285">
      <c r="L285" s="15"/>
    </row>
    <row r="286">
      <c r="L286" s="15"/>
    </row>
    <row r="287">
      <c r="L287" s="15"/>
    </row>
    <row r="288">
      <c r="L288" s="15"/>
    </row>
    <row r="289">
      <c r="L289" s="15"/>
    </row>
    <row r="290">
      <c r="L290" s="15"/>
    </row>
    <row r="291">
      <c r="L291" s="15"/>
    </row>
    <row r="292">
      <c r="L292" s="15"/>
    </row>
    <row r="293">
      <c r="L293" s="15"/>
    </row>
    <row r="294">
      <c r="L294" s="15"/>
    </row>
    <row r="295">
      <c r="L295" s="15"/>
    </row>
    <row r="296">
      <c r="L296" s="15"/>
    </row>
    <row r="297">
      <c r="L297" s="15"/>
    </row>
    <row r="298">
      <c r="L298" s="15"/>
    </row>
    <row r="299">
      <c r="L299" s="15"/>
    </row>
    <row r="300">
      <c r="L300" s="15"/>
    </row>
    <row r="301">
      <c r="L301" s="15"/>
    </row>
    <row r="302">
      <c r="L302" s="15"/>
    </row>
    <row r="303">
      <c r="L303" s="15"/>
    </row>
    <row r="304">
      <c r="L304" s="15"/>
    </row>
    <row r="305">
      <c r="L305" s="15"/>
    </row>
    <row r="306">
      <c r="L306" s="15"/>
    </row>
    <row r="307">
      <c r="L307" s="15"/>
    </row>
    <row r="308">
      <c r="L308" s="15"/>
    </row>
    <row r="309">
      <c r="L309" s="15"/>
    </row>
    <row r="310">
      <c r="L310" s="15"/>
    </row>
    <row r="311">
      <c r="L311" s="15"/>
    </row>
    <row r="312">
      <c r="L312" s="15"/>
    </row>
    <row r="313">
      <c r="L313" s="15"/>
    </row>
    <row r="314">
      <c r="L314" s="15"/>
    </row>
    <row r="315">
      <c r="L315" s="15"/>
    </row>
    <row r="316">
      <c r="L316" s="15"/>
    </row>
    <row r="317">
      <c r="L317" s="15"/>
    </row>
    <row r="318">
      <c r="L318" s="15"/>
    </row>
    <row r="319">
      <c r="L319" s="15"/>
    </row>
    <row r="320">
      <c r="L320" s="15"/>
    </row>
    <row r="321">
      <c r="L321" s="15"/>
    </row>
    <row r="322">
      <c r="L322" s="15"/>
    </row>
    <row r="323">
      <c r="L323" s="15"/>
    </row>
    <row r="324">
      <c r="L324" s="15"/>
    </row>
    <row r="325">
      <c r="L325" s="15"/>
    </row>
    <row r="326">
      <c r="L326" s="15"/>
    </row>
    <row r="327">
      <c r="L327" s="15"/>
    </row>
    <row r="328">
      <c r="L328" s="15"/>
    </row>
    <row r="329">
      <c r="L329" s="15"/>
    </row>
    <row r="330">
      <c r="L330" s="15"/>
    </row>
    <row r="331">
      <c r="L331" s="15"/>
    </row>
    <row r="332">
      <c r="L332" s="15"/>
    </row>
    <row r="333">
      <c r="L333" s="15"/>
    </row>
    <row r="334">
      <c r="L334" s="15"/>
    </row>
    <row r="335">
      <c r="L335" s="15"/>
    </row>
    <row r="336">
      <c r="L336" s="15"/>
    </row>
    <row r="337">
      <c r="L337" s="15"/>
    </row>
    <row r="338">
      <c r="L338" s="15"/>
    </row>
    <row r="339">
      <c r="L339" s="15"/>
    </row>
    <row r="340">
      <c r="L340" s="15"/>
    </row>
    <row r="341">
      <c r="L341" s="15"/>
    </row>
    <row r="342">
      <c r="L342" s="15"/>
    </row>
    <row r="343">
      <c r="L343" s="15"/>
    </row>
    <row r="344">
      <c r="L344" s="15"/>
    </row>
    <row r="345">
      <c r="L345" s="15"/>
    </row>
    <row r="346">
      <c r="L346" s="15"/>
    </row>
    <row r="347">
      <c r="L347" s="15"/>
    </row>
    <row r="348">
      <c r="L348" s="15"/>
    </row>
    <row r="349">
      <c r="L349" s="15"/>
    </row>
    <row r="350">
      <c r="L350" s="15"/>
    </row>
    <row r="351">
      <c r="L351" s="15"/>
    </row>
    <row r="352">
      <c r="L352" s="15"/>
    </row>
    <row r="353">
      <c r="L353" s="15"/>
    </row>
    <row r="354">
      <c r="L354" s="15"/>
    </row>
    <row r="355">
      <c r="L355" s="15"/>
    </row>
    <row r="356">
      <c r="L356" s="15"/>
    </row>
    <row r="357">
      <c r="L357" s="15"/>
    </row>
    <row r="358">
      <c r="L358" s="15"/>
    </row>
    <row r="359">
      <c r="L359" s="15"/>
    </row>
    <row r="360">
      <c r="L360" s="15"/>
    </row>
    <row r="361">
      <c r="L361" s="15"/>
    </row>
    <row r="362">
      <c r="L362" s="15"/>
    </row>
    <row r="363">
      <c r="L363" s="15"/>
    </row>
    <row r="364">
      <c r="L364" s="15"/>
    </row>
    <row r="365">
      <c r="L365" s="15"/>
    </row>
    <row r="366">
      <c r="L366" s="15"/>
    </row>
    <row r="367">
      <c r="L367" s="15"/>
    </row>
    <row r="368">
      <c r="L368" s="15"/>
    </row>
    <row r="369">
      <c r="L369" s="15"/>
    </row>
    <row r="370">
      <c r="L370" s="15"/>
    </row>
    <row r="371">
      <c r="L371" s="15"/>
    </row>
    <row r="372">
      <c r="L372" s="15"/>
    </row>
    <row r="373">
      <c r="L373" s="15"/>
    </row>
    <row r="374">
      <c r="L374" s="15"/>
    </row>
    <row r="375">
      <c r="L375" s="15"/>
    </row>
    <row r="376">
      <c r="L376" s="15"/>
    </row>
    <row r="377">
      <c r="L377" s="15"/>
    </row>
    <row r="378">
      <c r="L378" s="15"/>
    </row>
    <row r="379">
      <c r="L379" s="15"/>
    </row>
    <row r="380">
      <c r="L380" s="15"/>
    </row>
    <row r="381">
      <c r="L381" s="15"/>
    </row>
    <row r="382">
      <c r="L382" s="15"/>
    </row>
    <row r="383">
      <c r="L383" s="15"/>
    </row>
    <row r="384">
      <c r="L384" s="15"/>
    </row>
    <row r="385">
      <c r="L385" s="15"/>
    </row>
    <row r="386">
      <c r="L386" s="15"/>
    </row>
    <row r="387">
      <c r="L387" s="15"/>
    </row>
    <row r="388">
      <c r="L388" s="15"/>
    </row>
    <row r="389">
      <c r="L389" s="15"/>
    </row>
    <row r="390">
      <c r="L390" s="15"/>
    </row>
    <row r="391">
      <c r="L391" s="15"/>
    </row>
    <row r="392">
      <c r="L392" s="15"/>
    </row>
    <row r="393">
      <c r="L393" s="15"/>
    </row>
    <row r="394">
      <c r="L394" s="15"/>
    </row>
    <row r="395">
      <c r="L395" s="15"/>
    </row>
    <row r="396">
      <c r="L396" s="15"/>
    </row>
    <row r="397">
      <c r="L397" s="15"/>
    </row>
    <row r="398">
      <c r="L398" s="15"/>
    </row>
    <row r="399">
      <c r="L399" s="15"/>
    </row>
    <row r="400">
      <c r="L400" s="15"/>
    </row>
    <row r="401">
      <c r="L401" s="15"/>
    </row>
    <row r="402">
      <c r="L402" s="15"/>
    </row>
    <row r="403">
      <c r="L403" s="15"/>
    </row>
    <row r="404">
      <c r="L404" s="15"/>
    </row>
    <row r="405">
      <c r="L405" s="15"/>
    </row>
    <row r="406">
      <c r="L406" s="15"/>
    </row>
    <row r="407">
      <c r="L407" s="15"/>
    </row>
    <row r="408">
      <c r="L408" s="15"/>
    </row>
    <row r="409">
      <c r="L409" s="15"/>
    </row>
    <row r="410">
      <c r="L410" s="15"/>
    </row>
    <row r="411">
      <c r="L411" s="15"/>
    </row>
    <row r="412">
      <c r="L412" s="15"/>
    </row>
    <row r="413">
      <c r="L413" s="15"/>
    </row>
    <row r="414">
      <c r="L414" s="15"/>
    </row>
    <row r="415">
      <c r="L415" s="15"/>
    </row>
    <row r="416">
      <c r="L416" s="15"/>
    </row>
    <row r="417">
      <c r="L417" s="15"/>
    </row>
    <row r="418">
      <c r="L418" s="15"/>
    </row>
    <row r="419">
      <c r="L419" s="15"/>
    </row>
    <row r="420">
      <c r="L420" s="15"/>
    </row>
    <row r="421">
      <c r="L421" s="15"/>
    </row>
    <row r="422">
      <c r="L422" s="15"/>
    </row>
    <row r="423">
      <c r="L423" s="15"/>
    </row>
    <row r="424">
      <c r="L424" s="15"/>
    </row>
    <row r="425">
      <c r="L425" s="15"/>
    </row>
    <row r="426">
      <c r="L426" s="15"/>
    </row>
    <row r="427">
      <c r="L427" s="15"/>
    </row>
    <row r="428">
      <c r="L428" s="15"/>
    </row>
    <row r="429">
      <c r="L429" s="15"/>
    </row>
    <row r="430">
      <c r="L430" s="15"/>
    </row>
    <row r="431">
      <c r="L431" s="15"/>
    </row>
    <row r="432">
      <c r="L432" s="15"/>
    </row>
    <row r="433">
      <c r="L433" s="15"/>
    </row>
    <row r="434">
      <c r="L434" s="15"/>
    </row>
    <row r="435">
      <c r="L435" s="15"/>
    </row>
    <row r="436">
      <c r="L436" s="15"/>
    </row>
    <row r="437">
      <c r="L437" s="15"/>
    </row>
    <row r="438">
      <c r="L438" s="15"/>
    </row>
    <row r="439">
      <c r="L439" s="15"/>
    </row>
    <row r="440">
      <c r="L440" s="15"/>
    </row>
    <row r="441">
      <c r="L441" s="15"/>
    </row>
    <row r="442">
      <c r="L442" s="15"/>
    </row>
    <row r="443">
      <c r="L443" s="15"/>
    </row>
    <row r="444">
      <c r="L444" s="15"/>
    </row>
    <row r="445">
      <c r="L445" s="15"/>
    </row>
    <row r="446">
      <c r="L446" s="15"/>
    </row>
    <row r="447">
      <c r="L447" s="15"/>
    </row>
    <row r="448">
      <c r="L448" s="15"/>
    </row>
    <row r="449">
      <c r="L449" s="15"/>
    </row>
    <row r="450">
      <c r="L450" s="15"/>
    </row>
    <row r="451">
      <c r="L451" s="15"/>
    </row>
    <row r="452">
      <c r="L452" s="15"/>
    </row>
    <row r="453">
      <c r="L453" s="15"/>
    </row>
    <row r="454">
      <c r="L454" s="15"/>
    </row>
    <row r="455">
      <c r="L455" s="15"/>
    </row>
    <row r="456">
      <c r="L456" s="15"/>
    </row>
    <row r="457">
      <c r="L457" s="15"/>
    </row>
    <row r="458">
      <c r="L458" s="15"/>
    </row>
    <row r="459">
      <c r="L459" s="15"/>
    </row>
    <row r="460">
      <c r="L460" s="15"/>
    </row>
    <row r="461">
      <c r="L461" s="15"/>
    </row>
    <row r="462">
      <c r="L462" s="15"/>
    </row>
    <row r="463">
      <c r="L463" s="15"/>
    </row>
    <row r="464">
      <c r="L464" s="15"/>
    </row>
    <row r="465">
      <c r="L465" s="15"/>
    </row>
    <row r="466">
      <c r="L466" s="15"/>
    </row>
    <row r="467">
      <c r="L467" s="15"/>
    </row>
    <row r="468">
      <c r="L468" s="15"/>
    </row>
    <row r="469">
      <c r="L469" s="15"/>
    </row>
    <row r="470">
      <c r="L470" s="15"/>
    </row>
    <row r="471">
      <c r="L471" s="15"/>
    </row>
    <row r="472">
      <c r="L472" s="15"/>
    </row>
    <row r="473">
      <c r="L473" s="15"/>
    </row>
    <row r="474">
      <c r="L474" s="15"/>
    </row>
    <row r="475">
      <c r="L475" s="15"/>
    </row>
    <row r="476">
      <c r="L476" s="15"/>
    </row>
    <row r="477">
      <c r="L477" s="15"/>
    </row>
    <row r="478">
      <c r="L478" s="15"/>
    </row>
    <row r="479">
      <c r="L479" s="15"/>
    </row>
    <row r="480">
      <c r="L480" s="15"/>
    </row>
    <row r="481">
      <c r="L481" s="15"/>
    </row>
    <row r="482">
      <c r="L482" s="15"/>
    </row>
    <row r="483">
      <c r="L483" s="15"/>
    </row>
    <row r="484">
      <c r="L484" s="15"/>
    </row>
    <row r="485">
      <c r="L485" s="15"/>
    </row>
    <row r="486">
      <c r="L486" s="15"/>
    </row>
    <row r="487">
      <c r="L487" s="15"/>
    </row>
    <row r="488">
      <c r="L488" s="15"/>
    </row>
    <row r="489">
      <c r="L489" s="15"/>
    </row>
    <row r="490">
      <c r="L490" s="15"/>
    </row>
    <row r="491">
      <c r="L491" s="15"/>
    </row>
    <row r="492">
      <c r="L492" s="15"/>
    </row>
    <row r="493">
      <c r="L493" s="15"/>
    </row>
    <row r="494">
      <c r="L494" s="15"/>
    </row>
    <row r="495">
      <c r="L495" s="15"/>
    </row>
    <row r="496">
      <c r="L496" s="15"/>
    </row>
    <row r="497">
      <c r="L497" s="15"/>
    </row>
    <row r="498">
      <c r="L498" s="15"/>
    </row>
    <row r="499">
      <c r="L499" s="15"/>
    </row>
    <row r="500">
      <c r="L500" s="15"/>
    </row>
    <row r="501">
      <c r="L501" s="15"/>
    </row>
    <row r="502">
      <c r="L502" s="15"/>
    </row>
    <row r="503">
      <c r="L503" s="15"/>
    </row>
    <row r="504">
      <c r="L504" s="15"/>
    </row>
    <row r="505">
      <c r="L505" s="15"/>
    </row>
    <row r="506">
      <c r="L506" s="15"/>
    </row>
    <row r="507">
      <c r="L507" s="15"/>
    </row>
    <row r="508">
      <c r="L508" s="15"/>
    </row>
    <row r="509">
      <c r="L509" s="15"/>
    </row>
    <row r="510">
      <c r="L510" s="15"/>
    </row>
    <row r="511">
      <c r="L511" s="15"/>
    </row>
    <row r="512">
      <c r="L512" s="15"/>
    </row>
    <row r="513">
      <c r="L513" s="15"/>
    </row>
    <row r="514">
      <c r="L514" s="15"/>
    </row>
    <row r="515">
      <c r="L515" s="15"/>
    </row>
    <row r="516">
      <c r="L516" s="15"/>
    </row>
    <row r="517">
      <c r="L517" s="15"/>
    </row>
    <row r="518">
      <c r="L518" s="15"/>
    </row>
    <row r="519">
      <c r="L519" s="15"/>
    </row>
    <row r="520">
      <c r="L520" s="15"/>
    </row>
    <row r="521">
      <c r="L521" s="15"/>
    </row>
    <row r="522">
      <c r="L522" s="15"/>
    </row>
    <row r="523">
      <c r="L523" s="15"/>
    </row>
    <row r="524">
      <c r="L524" s="15"/>
    </row>
    <row r="525">
      <c r="L525" s="15"/>
    </row>
    <row r="526">
      <c r="L526" s="15"/>
    </row>
    <row r="527">
      <c r="L527" s="15"/>
    </row>
    <row r="528">
      <c r="L528" s="15"/>
    </row>
    <row r="529">
      <c r="L529" s="15"/>
    </row>
    <row r="530">
      <c r="L530" s="15"/>
    </row>
    <row r="531">
      <c r="L531" s="15"/>
    </row>
    <row r="532">
      <c r="L532" s="15"/>
    </row>
    <row r="533">
      <c r="L533" s="15"/>
    </row>
    <row r="534">
      <c r="L534" s="15"/>
    </row>
    <row r="535">
      <c r="L535" s="15"/>
    </row>
    <row r="536">
      <c r="L536" s="15"/>
    </row>
    <row r="537">
      <c r="L537" s="15"/>
    </row>
    <row r="538">
      <c r="L538" s="15"/>
    </row>
    <row r="539">
      <c r="L539" s="15"/>
    </row>
    <row r="540">
      <c r="L540" s="15"/>
    </row>
    <row r="541">
      <c r="L541" s="15"/>
    </row>
    <row r="542">
      <c r="L542" s="15"/>
    </row>
    <row r="543">
      <c r="L543" s="15"/>
    </row>
    <row r="544">
      <c r="L544" s="15"/>
    </row>
    <row r="545">
      <c r="L545" s="15"/>
    </row>
    <row r="546">
      <c r="L546" s="15"/>
    </row>
    <row r="547">
      <c r="L547" s="15"/>
    </row>
    <row r="548">
      <c r="L548" s="15"/>
    </row>
    <row r="549">
      <c r="L549" s="15"/>
    </row>
    <row r="550">
      <c r="L550" s="15"/>
    </row>
    <row r="551">
      <c r="L551" s="15"/>
    </row>
    <row r="552">
      <c r="L552" s="15"/>
    </row>
    <row r="553">
      <c r="L553" s="15"/>
    </row>
    <row r="554">
      <c r="L554" s="15"/>
    </row>
    <row r="555">
      <c r="L555" s="15"/>
    </row>
    <row r="556">
      <c r="L556" s="15"/>
    </row>
    <row r="557">
      <c r="L557" s="15"/>
    </row>
    <row r="558">
      <c r="L558" s="15"/>
    </row>
    <row r="559">
      <c r="L559" s="15"/>
    </row>
    <row r="560">
      <c r="L560" s="15"/>
    </row>
    <row r="561">
      <c r="L561" s="15"/>
    </row>
    <row r="562">
      <c r="L562" s="15"/>
    </row>
    <row r="563">
      <c r="L563" s="15"/>
    </row>
    <row r="564">
      <c r="L564" s="15"/>
    </row>
    <row r="565">
      <c r="L565" s="15"/>
    </row>
    <row r="566">
      <c r="L566" s="15"/>
    </row>
    <row r="567">
      <c r="L567" s="15"/>
    </row>
    <row r="568">
      <c r="L568" s="15"/>
    </row>
    <row r="569">
      <c r="L569" s="15"/>
    </row>
    <row r="570">
      <c r="L570" s="15"/>
    </row>
    <row r="571">
      <c r="L571" s="15"/>
    </row>
    <row r="572">
      <c r="L572" s="15"/>
    </row>
    <row r="573">
      <c r="L573" s="15"/>
    </row>
    <row r="574">
      <c r="L574" s="15"/>
    </row>
    <row r="575">
      <c r="L575" s="15"/>
    </row>
    <row r="576">
      <c r="L576" s="15"/>
    </row>
    <row r="577">
      <c r="L577" s="15"/>
    </row>
    <row r="578">
      <c r="L578" s="15"/>
    </row>
    <row r="579">
      <c r="L579" s="15"/>
    </row>
    <row r="580">
      <c r="L580" s="15"/>
    </row>
    <row r="581">
      <c r="L581" s="15"/>
    </row>
    <row r="582">
      <c r="L582" s="15"/>
    </row>
    <row r="583">
      <c r="L583" s="15"/>
    </row>
    <row r="584">
      <c r="L584" s="15"/>
    </row>
    <row r="585">
      <c r="L585" s="15"/>
    </row>
    <row r="586">
      <c r="L586" s="15"/>
    </row>
    <row r="587">
      <c r="L587" s="15"/>
    </row>
    <row r="588">
      <c r="L588" s="15"/>
    </row>
    <row r="589">
      <c r="L589" s="15"/>
    </row>
    <row r="590">
      <c r="L590" s="15"/>
    </row>
    <row r="591">
      <c r="L591" s="15"/>
    </row>
    <row r="592">
      <c r="L592" s="15"/>
    </row>
    <row r="593">
      <c r="L593" s="15"/>
    </row>
    <row r="594">
      <c r="L594" s="15"/>
    </row>
    <row r="595">
      <c r="L595" s="15"/>
    </row>
    <row r="596">
      <c r="L596" s="15"/>
    </row>
    <row r="597">
      <c r="L597" s="15"/>
    </row>
    <row r="598">
      <c r="L598" s="15"/>
    </row>
    <row r="599">
      <c r="L599" s="15"/>
    </row>
    <row r="600">
      <c r="L600" s="15"/>
    </row>
    <row r="601">
      <c r="L601" s="15"/>
    </row>
    <row r="602">
      <c r="L602" s="15"/>
    </row>
    <row r="603">
      <c r="L603" s="15"/>
    </row>
    <row r="604">
      <c r="L604" s="15"/>
    </row>
    <row r="605">
      <c r="L605" s="15"/>
    </row>
    <row r="606">
      <c r="L606" s="15"/>
    </row>
    <row r="607">
      <c r="L607" s="15"/>
    </row>
    <row r="608">
      <c r="L608" s="15"/>
    </row>
    <row r="609">
      <c r="L609" s="15"/>
    </row>
    <row r="610">
      <c r="L610" s="15"/>
    </row>
    <row r="611">
      <c r="L611" s="15"/>
    </row>
    <row r="612">
      <c r="L612" s="15"/>
    </row>
    <row r="613">
      <c r="L613" s="15"/>
    </row>
    <row r="614">
      <c r="L614" s="15"/>
    </row>
    <row r="615">
      <c r="L615" s="15"/>
    </row>
    <row r="616">
      <c r="L616" s="15"/>
    </row>
    <row r="617">
      <c r="L617" s="15"/>
    </row>
    <row r="618">
      <c r="L618" s="15"/>
    </row>
    <row r="619">
      <c r="L619" s="15"/>
    </row>
    <row r="620">
      <c r="L620" s="15"/>
    </row>
    <row r="621">
      <c r="L621" s="15"/>
    </row>
    <row r="622">
      <c r="L622" s="15"/>
    </row>
    <row r="623">
      <c r="L623" s="15"/>
    </row>
    <row r="624">
      <c r="L624" s="15"/>
    </row>
    <row r="625">
      <c r="L625" s="15"/>
    </row>
    <row r="626">
      <c r="L626" s="15"/>
    </row>
    <row r="627">
      <c r="L627" s="15"/>
    </row>
    <row r="628">
      <c r="L628" s="15"/>
    </row>
    <row r="629">
      <c r="L629" s="15"/>
    </row>
    <row r="630">
      <c r="L630" s="15"/>
    </row>
    <row r="631">
      <c r="L631" s="15"/>
    </row>
    <row r="632">
      <c r="L632" s="15"/>
    </row>
    <row r="633">
      <c r="L633" s="15"/>
    </row>
    <row r="634">
      <c r="L634" s="15"/>
    </row>
    <row r="635">
      <c r="L635" s="15"/>
    </row>
    <row r="636">
      <c r="L636" s="15"/>
    </row>
    <row r="637">
      <c r="L637" s="15"/>
    </row>
    <row r="638">
      <c r="L638" s="15"/>
    </row>
    <row r="639">
      <c r="L639" s="15"/>
    </row>
    <row r="640">
      <c r="L640" s="15"/>
    </row>
    <row r="641">
      <c r="L641" s="15"/>
    </row>
    <row r="642">
      <c r="L642" s="15"/>
    </row>
    <row r="643">
      <c r="L643" s="15"/>
    </row>
    <row r="644">
      <c r="L644" s="15"/>
    </row>
    <row r="645">
      <c r="L645" s="15"/>
    </row>
    <row r="646">
      <c r="L646" s="15"/>
    </row>
    <row r="647">
      <c r="L647" s="15"/>
    </row>
    <row r="648">
      <c r="L648" s="15"/>
    </row>
    <row r="649">
      <c r="L649" s="15"/>
    </row>
    <row r="650">
      <c r="L650" s="15"/>
    </row>
    <row r="651">
      <c r="L651" s="15"/>
    </row>
    <row r="652">
      <c r="L652" s="15"/>
    </row>
    <row r="653">
      <c r="L653" s="15"/>
    </row>
    <row r="654">
      <c r="L654" s="15"/>
    </row>
    <row r="655">
      <c r="L655" s="15"/>
    </row>
    <row r="656">
      <c r="L656" s="15"/>
    </row>
    <row r="657">
      <c r="L657" s="15"/>
    </row>
    <row r="658">
      <c r="L658" s="15"/>
    </row>
    <row r="659">
      <c r="L659" s="15"/>
    </row>
    <row r="660">
      <c r="L660" s="15"/>
    </row>
    <row r="661">
      <c r="L661" s="15"/>
    </row>
    <row r="662">
      <c r="L662" s="15"/>
    </row>
    <row r="663">
      <c r="L663" s="15"/>
    </row>
    <row r="664">
      <c r="L664" s="15"/>
    </row>
    <row r="665">
      <c r="L665" s="15"/>
    </row>
    <row r="666">
      <c r="L666" s="15"/>
    </row>
    <row r="667">
      <c r="L667" s="15"/>
    </row>
    <row r="668">
      <c r="L668" s="15"/>
    </row>
    <row r="669">
      <c r="L669" s="15"/>
    </row>
    <row r="670">
      <c r="L670" s="15"/>
    </row>
    <row r="671">
      <c r="L671" s="15"/>
    </row>
    <row r="672">
      <c r="L672" s="15"/>
    </row>
    <row r="673">
      <c r="L673" s="15"/>
    </row>
    <row r="674">
      <c r="L674" s="15"/>
    </row>
    <row r="675">
      <c r="L675" s="15"/>
    </row>
    <row r="676">
      <c r="L676" s="15"/>
    </row>
    <row r="677">
      <c r="L677" s="15"/>
    </row>
    <row r="678">
      <c r="L678" s="15"/>
    </row>
    <row r="679">
      <c r="L679" s="15"/>
    </row>
    <row r="680">
      <c r="L680" s="15"/>
    </row>
    <row r="681">
      <c r="L681" s="15"/>
    </row>
    <row r="682">
      <c r="L682" s="15"/>
    </row>
    <row r="683">
      <c r="L683" s="15"/>
    </row>
    <row r="684">
      <c r="L684" s="15"/>
    </row>
    <row r="685">
      <c r="L685" s="15"/>
    </row>
    <row r="686">
      <c r="L686" s="15"/>
    </row>
    <row r="687">
      <c r="L687" s="15"/>
    </row>
    <row r="688">
      <c r="L688" s="15"/>
    </row>
    <row r="689">
      <c r="L689" s="15"/>
    </row>
    <row r="690">
      <c r="L690" s="15"/>
    </row>
    <row r="691">
      <c r="L691" s="15"/>
    </row>
    <row r="692">
      <c r="L692" s="15"/>
    </row>
    <row r="693">
      <c r="L693" s="15"/>
    </row>
    <row r="694">
      <c r="L694" s="15"/>
    </row>
    <row r="695">
      <c r="L695" s="15"/>
    </row>
    <row r="696">
      <c r="L696" s="15"/>
    </row>
    <row r="697">
      <c r="L697" s="15"/>
    </row>
    <row r="698">
      <c r="L698" s="15"/>
    </row>
    <row r="699">
      <c r="L699" s="15"/>
    </row>
    <row r="700">
      <c r="L700" s="15"/>
    </row>
    <row r="701">
      <c r="L701" s="15"/>
    </row>
    <row r="702">
      <c r="L702" s="15"/>
    </row>
    <row r="703">
      <c r="L703" s="15"/>
    </row>
    <row r="704">
      <c r="L704" s="15"/>
    </row>
    <row r="705">
      <c r="L705" s="15"/>
    </row>
    <row r="706">
      <c r="L706" s="15"/>
    </row>
    <row r="707">
      <c r="L707" s="15"/>
    </row>
    <row r="708">
      <c r="L708" s="15"/>
    </row>
    <row r="709">
      <c r="L709" s="15"/>
    </row>
    <row r="710">
      <c r="L710" s="15"/>
    </row>
    <row r="711">
      <c r="L711" s="15"/>
    </row>
    <row r="712">
      <c r="L712" s="15"/>
    </row>
    <row r="713">
      <c r="L713" s="15"/>
    </row>
    <row r="714">
      <c r="L714" s="15"/>
    </row>
    <row r="715">
      <c r="L715" s="15"/>
    </row>
    <row r="716">
      <c r="L716" s="15"/>
    </row>
    <row r="717">
      <c r="L717" s="15"/>
    </row>
    <row r="718">
      <c r="L718" s="15"/>
    </row>
    <row r="719">
      <c r="L719" s="15"/>
    </row>
    <row r="720">
      <c r="L720" s="15"/>
    </row>
    <row r="721">
      <c r="L721" s="15"/>
    </row>
    <row r="722">
      <c r="L722" s="15"/>
    </row>
    <row r="723">
      <c r="L723" s="15"/>
    </row>
    <row r="724">
      <c r="L724" s="15"/>
    </row>
    <row r="725">
      <c r="L725" s="15"/>
    </row>
    <row r="726">
      <c r="L726" s="15"/>
    </row>
    <row r="727">
      <c r="L727" s="15"/>
    </row>
    <row r="728">
      <c r="L728" s="15"/>
    </row>
    <row r="729">
      <c r="L729" s="15"/>
    </row>
    <row r="730">
      <c r="L730" s="15"/>
    </row>
    <row r="731">
      <c r="L731" s="15"/>
    </row>
    <row r="732">
      <c r="L732" s="15"/>
    </row>
    <row r="733">
      <c r="L733" s="15"/>
    </row>
    <row r="734">
      <c r="L734" s="15"/>
    </row>
    <row r="735">
      <c r="L735" s="15"/>
    </row>
    <row r="736">
      <c r="L736" s="15"/>
    </row>
    <row r="737">
      <c r="L737" s="15"/>
    </row>
    <row r="738">
      <c r="L738" s="15"/>
    </row>
    <row r="739">
      <c r="L739" s="15"/>
    </row>
    <row r="740">
      <c r="L740" s="15"/>
    </row>
    <row r="741">
      <c r="L741" s="15"/>
    </row>
    <row r="742">
      <c r="L742" s="15"/>
    </row>
    <row r="743">
      <c r="L743" s="15"/>
    </row>
    <row r="744">
      <c r="L744" s="15"/>
    </row>
    <row r="745">
      <c r="L745" s="15"/>
    </row>
    <row r="746">
      <c r="L746" s="15"/>
    </row>
    <row r="747">
      <c r="L747" s="15"/>
    </row>
    <row r="748">
      <c r="L748" s="15"/>
    </row>
    <row r="749">
      <c r="L749" s="15"/>
    </row>
    <row r="750">
      <c r="L750" s="15"/>
    </row>
    <row r="751">
      <c r="L751" s="15"/>
    </row>
    <row r="752">
      <c r="L752" s="15"/>
    </row>
    <row r="753">
      <c r="L753" s="15"/>
    </row>
    <row r="754">
      <c r="L754" s="15"/>
    </row>
    <row r="755">
      <c r="L755" s="15"/>
    </row>
    <row r="756">
      <c r="L756" s="15"/>
    </row>
    <row r="757">
      <c r="L757" s="15"/>
    </row>
    <row r="758">
      <c r="L758" s="15"/>
    </row>
    <row r="759">
      <c r="L759" s="15"/>
    </row>
    <row r="760">
      <c r="L760" s="15"/>
    </row>
    <row r="761">
      <c r="L761" s="15"/>
    </row>
    <row r="762">
      <c r="L762" s="15"/>
    </row>
    <row r="763">
      <c r="L763" s="15"/>
    </row>
    <row r="764">
      <c r="L764" s="15"/>
    </row>
    <row r="765">
      <c r="L765" s="15"/>
    </row>
    <row r="766">
      <c r="L766" s="15"/>
    </row>
    <row r="767">
      <c r="L767" s="15"/>
    </row>
    <row r="768">
      <c r="L768" s="15"/>
    </row>
    <row r="769">
      <c r="L769" s="15"/>
    </row>
    <row r="770">
      <c r="L770" s="15"/>
    </row>
    <row r="771">
      <c r="L771" s="15"/>
    </row>
    <row r="772">
      <c r="L772" s="15"/>
    </row>
    <row r="773">
      <c r="L773" s="15"/>
    </row>
    <row r="774">
      <c r="L774" s="15"/>
    </row>
    <row r="775">
      <c r="L775" s="15"/>
    </row>
    <row r="776">
      <c r="L776" s="15"/>
    </row>
    <row r="777">
      <c r="L777" s="15"/>
    </row>
    <row r="778">
      <c r="L778" s="15"/>
    </row>
    <row r="779">
      <c r="L779" s="15"/>
    </row>
    <row r="780">
      <c r="L780" s="15"/>
    </row>
    <row r="781">
      <c r="L781" s="15"/>
    </row>
    <row r="782">
      <c r="L782" s="15"/>
    </row>
    <row r="783">
      <c r="L783" s="15"/>
    </row>
    <row r="784">
      <c r="L784" s="15"/>
    </row>
    <row r="785">
      <c r="L785" s="15"/>
    </row>
    <row r="786">
      <c r="L786" s="15"/>
    </row>
    <row r="787">
      <c r="L787" s="15"/>
    </row>
    <row r="788">
      <c r="L788" s="15"/>
    </row>
    <row r="789">
      <c r="L789" s="15"/>
    </row>
    <row r="790">
      <c r="L790" s="15"/>
    </row>
    <row r="791">
      <c r="L791" s="15"/>
    </row>
    <row r="792">
      <c r="L792" s="15"/>
    </row>
    <row r="793">
      <c r="L793" s="15"/>
    </row>
    <row r="794">
      <c r="L794" s="15"/>
    </row>
    <row r="795">
      <c r="L795" s="15"/>
    </row>
    <row r="796">
      <c r="L796" s="15"/>
    </row>
    <row r="797">
      <c r="L797" s="15"/>
    </row>
    <row r="798">
      <c r="L798" s="15"/>
    </row>
    <row r="799">
      <c r="L799" s="15"/>
    </row>
    <row r="800">
      <c r="L800" s="15"/>
    </row>
    <row r="801">
      <c r="L801" s="15"/>
    </row>
    <row r="802">
      <c r="L802" s="15"/>
    </row>
    <row r="803">
      <c r="L803" s="15"/>
    </row>
    <row r="804">
      <c r="L804" s="15"/>
    </row>
    <row r="805">
      <c r="L805" s="15"/>
    </row>
    <row r="806">
      <c r="L806" s="15"/>
    </row>
    <row r="807">
      <c r="L807" s="15"/>
    </row>
    <row r="808">
      <c r="L808" s="15"/>
    </row>
    <row r="809">
      <c r="L809" s="15"/>
    </row>
    <row r="810">
      <c r="L810" s="15"/>
    </row>
    <row r="811">
      <c r="L811" s="15"/>
    </row>
    <row r="812">
      <c r="L812" s="15"/>
    </row>
    <row r="813">
      <c r="L813" s="15"/>
    </row>
    <row r="814">
      <c r="L814" s="15"/>
    </row>
    <row r="815">
      <c r="L815" s="15"/>
    </row>
    <row r="816">
      <c r="L816" s="15"/>
    </row>
    <row r="817">
      <c r="L817" s="15"/>
    </row>
    <row r="818">
      <c r="L818" s="15"/>
    </row>
    <row r="819">
      <c r="L819" s="15"/>
    </row>
    <row r="820">
      <c r="L820" s="15"/>
    </row>
    <row r="821">
      <c r="L821" s="15"/>
    </row>
    <row r="822">
      <c r="L822" s="15"/>
    </row>
    <row r="823">
      <c r="L823" s="15"/>
    </row>
    <row r="824">
      <c r="L824" s="15"/>
    </row>
    <row r="825">
      <c r="L825" s="15"/>
    </row>
    <row r="826">
      <c r="L826" s="15"/>
    </row>
    <row r="827">
      <c r="L827" s="15"/>
    </row>
    <row r="828">
      <c r="L828" s="15"/>
    </row>
    <row r="829">
      <c r="L829" s="15"/>
    </row>
    <row r="830">
      <c r="L830" s="15"/>
    </row>
    <row r="831">
      <c r="L831" s="15"/>
    </row>
    <row r="832">
      <c r="L832" s="15"/>
    </row>
    <row r="833">
      <c r="L833" s="15"/>
    </row>
    <row r="834">
      <c r="L834" s="15"/>
    </row>
    <row r="835">
      <c r="L835" s="15"/>
    </row>
    <row r="836">
      <c r="L836" s="15"/>
    </row>
    <row r="837">
      <c r="L837" s="15"/>
    </row>
    <row r="838">
      <c r="L838" s="15"/>
    </row>
    <row r="839">
      <c r="L839" s="15"/>
    </row>
    <row r="840">
      <c r="L840" s="15"/>
    </row>
    <row r="841">
      <c r="L841" s="15"/>
    </row>
    <row r="842">
      <c r="L842" s="15"/>
    </row>
    <row r="843">
      <c r="L843" s="15"/>
    </row>
    <row r="844">
      <c r="L844" s="15"/>
    </row>
    <row r="845">
      <c r="L845" s="15"/>
    </row>
    <row r="846">
      <c r="L846" s="15"/>
    </row>
    <row r="847">
      <c r="L847" s="15"/>
    </row>
    <row r="848">
      <c r="L848" s="15"/>
    </row>
    <row r="849">
      <c r="L849" s="15"/>
    </row>
    <row r="850">
      <c r="L850" s="15"/>
    </row>
    <row r="851">
      <c r="L851" s="15"/>
    </row>
    <row r="852">
      <c r="L852" s="15"/>
    </row>
    <row r="853">
      <c r="L853" s="15"/>
    </row>
    <row r="854">
      <c r="L854" s="15"/>
    </row>
    <row r="855">
      <c r="L855" s="15"/>
    </row>
    <row r="856">
      <c r="L856" s="15"/>
    </row>
    <row r="857">
      <c r="L857" s="15"/>
    </row>
    <row r="858">
      <c r="L858" s="15"/>
    </row>
    <row r="859">
      <c r="L859" s="15"/>
    </row>
    <row r="860">
      <c r="L860" s="15"/>
    </row>
    <row r="861">
      <c r="L861" s="15"/>
    </row>
    <row r="862">
      <c r="L862" s="15"/>
    </row>
    <row r="863">
      <c r="L863" s="15"/>
    </row>
    <row r="864">
      <c r="L864" s="15"/>
    </row>
    <row r="865">
      <c r="L865" s="15"/>
    </row>
    <row r="866">
      <c r="L866" s="15"/>
    </row>
    <row r="867">
      <c r="L867" s="15"/>
    </row>
    <row r="868">
      <c r="L868" s="15"/>
    </row>
    <row r="869">
      <c r="L869" s="15"/>
    </row>
    <row r="870">
      <c r="L870" s="15"/>
    </row>
    <row r="871">
      <c r="L871" s="15"/>
    </row>
    <row r="872">
      <c r="L872" s="15"/>
    </row>
    <row r="873">
      <c r="L873" s="15"/>
    </row>
    <row r="874">
      <c r="L874" s="15"/>
    </row>
    <row r="875">
      <c r="L875" s="15"/>
    </row>
    <row r="876">
      <c r="L876" s="15"/>
    </row>
    <row r="877">
      <c r="L877" s="15"/>
    </row>
    <row r="878">
      <c r="L878" s="15"/>
    </row>
    <row r="879">
      <c r="L879" s="15"/>
    </row>
    <row r="880">
      <c r="L880" s="15"/>
    </row>
    <row r="881">
      <c r="L881" s="15"/>
    </row>
    <row r="882">
      <c r="L882" s="15"/>
    </row>
    <row r="883">
      <c r="L883" s="15"/>
    </row>
    <row r="884">
      <c r="L884" s="15"/>
    </row>
    <row r="885">
      <c r="L885" s="15"/>
    </row>
    <row r="886">
      <c r="L886" s="15"/>
    </row>
    <row r="887">
      <c r="L887" s="15"/>
    </row>
    <row r="888">
      <c r="L888" s="15"/>
    </row>
    <row r="889">
      <c r="L889" s="15"/>
    </row>
    <row r="890">
      <c r="L890" s="15"/>
    </row>
    <row r="891">
      <c r="L891" s="15"/>
    </row>
    <row r="892">
      <c r="L892" s="15"/>
    </row>
    <row r="893">
      <c r="L893" s="15"/>
    </row>
    <row r="894">
      <c r="L894" s="15"/>
    </row>
    <row r="895">
      <c r="L895" s="15"/>
    </row>
    <row r="896">
      <c r="L896" s="15"/>
    </row>
    <row r="897">
      <c r="L897" s="15"/>
    </row>
    <row r="898">
      <c r="L898" s="15"/>
    </row>
    <row r="899">
      <c r="L899" s="15"/>
    </row>
    <row r="900">
      <c r="L900" s="15"/>
    </row>
    <row r="901">
      <c r="L901" s="15"/>
    </row>
    <row r="902">
      <c r="L902" s="15"/>
    </row>
    <row r="903">
      <c r="L903" s="15"/>
    </row>
    <row r="904">
      <c r="L904" s="15"/>
    </row>
    <row r="905">
      <c r="L905" s="15"/>
    </row>
    <row r="906">
      <c r="L906" s="15"/>
    </row>
    <row r="907">
      <c r="L907" s="15"/>
    </row>
    <row r="908">
      <c r="L908" s="15"/>
    </row>
    <row r="909">
      <c r="L909" s="15"/>
    </row>
    <row r="910">
      <c r="L910" s="15"/>
    </row>
    <row r="911">
      <c r="L911" s="15"/>
    </row>
    <row r="912">
      <c r="L912" s="15"/>
    </row>
    <row r="913">
      <c r="L913" s="15"/>
    </row>
    <row r="914">
      <c r="L914" s="15"/>
    </row>
    <row r="915">
      <c r="L915" s="15"/>
    </row>
    <row r="916">
      <c r="L916" s="15"/>
    </row>
    <row r="917">
      <c r="L917" s="15"/>
    </row>
    <row r="918">
      <c r="L918" s="15"/>
    </row>
    <row r="919">
      <c r="L919" s="15"/>
    </row>
    <row r="920">
      <c r="L920" s="15"/>
    </row>
    <row r="921">
      <c r="L921" s="15"/>
    </row>
    <row r="922">
      <c r="L922" s="15"/>
    </row>
    <row r="923">
      <c r="L923" s="15"/>
    </row>
    <row r="924">
      <c r="L924" s="15"/>
    </row>
    <row r="925">
      <c r="L925" s="15"/>
    </row>
    <row r="926">
      <c r="L926" s="15"/>
    </row>
    <row r="927">
      <c r="L927" s="15"/>
    </row>
    <row r="928">
      <c r="L928" s="15"/>
    </row>
    <row r="929">
      <c r="L929" s="15"/>
    </row>
    <row r="930">
      <c r="L930" s="15"/>
    </row>
    <row r="931">
      <c r="L931" s="15"/>
    </row>
    <row r="932">
      <c r="L932" s="15"/>
    </row>
    <row r="933">
      <c r="L933" s="15"/>
    </row>
    <row r="934">
      <c r="L934" s="15"/>
    </row>
    <row r="935">
      <c r="L935" s="15"/>
    </row>
    <row r="936">
      <c r="L936" s="15"/>
    </row>
    <row r="937">
      <c r="L937" s="15"/>
    </row>
    <row r="938">
      <c r="L938" s="15"/>
    </row>
    <row r="939">
      <c r="L939" s="15"/>
    </row>
    <row r="940">
      <c r="L940" s="15"/>
    </row>
    <row r="941">
      <c r="L941" s="15"/>
    </row>
    <row r="942">
      <c r="L942" s="15"/>
    </row>
    <row r="943">
      <c r="L943" s="15"/>
    </row>
    <row r="944">
      <c r="L944" s="15"/>
    </row>
    <row r="945">
      <c r="L945" s="15"/>
    </row>
    <row r="946">
      <c r="L946" s="15"/>
    </row>
    <row r="947">
      <c r="L947" s="15"/>
    </row>
    <row r="948">
      <c r="L948" s="15"/>
    </row>
    <row r="949">
      <c r="L949" s="15"/>
    </row>
    <row r="950">
      <c r="L950" s="15"/>
    </row>
    <row r="951">
      <c r="L951" s="15"/>
    </row>
    <row r="952">
      <c r="L952" s="15"/>
    </row>
    <row r="953">
      <c r="L953" s="15"/>
    </row>
    <row r="954">
      <c r="L954" s="15"/>
    </row>
    <row r="955">
      <c r="L955" s="15"/>
    </row>
    <row r="956">
      <c r="L956" s="15"/>
    </row>
    <row r="957">
      <c r="L957" s="15"/>
    </row>
    <row r="958">
      <c r="L958" s="15"/>
    </row>
    <row r="959">
      <c r="L959" s="15"/>
    </row>
    <row r="960">
      <c r="L960" s="15"/>
    </row>
    <row r="961">
      <c r="L961" s="15"/>
    </row>
    <row r="962">
      <c r="L962" s="15"/>
    </row>
    <row r="963">
      <c r="L963" s="15"/>
    </row>
    <row r="964">
      <c r="L964" s="15"/>
    </row>
    <row r="965">
      <c r="L965" s="15"/>
    </row>
    <row r="966">
      <c r="L966" s="15"/>
    </row>
    <row r="967">
      <c r="L967" s="15"/>
    </row>
    <row r="968">
      <c r="L968" s="15"/>
    </row>
    <row r="969">
      <c r="L969" s="15"/>
    </row>
    <row r="970">
      <c r="L970" s="15"/>
    </row>
    <row r="971">
      <c r="L971" s="15"/>
    </row>
    <row r="972">
      <c r="L972" s="15"/>
    </row>
    <row r="973">
      <c r="L973" s="15"/>
    </row>
    <row r="974">
      <c r="L974" s="15"/>
    </row>
    <row r="975">
      <c r="L975" s="15"/>
    </row>
    <row r="976">
      <c r="L976" s="15"/>
    </row>
    <row r="977">
      <c r="L977" s="15"/>
    </row>
    <row r="978">
      <c r="L978" s="15"/>
    </row>
    <row r="979">
      <c r="L979" s="15"/>
    </row>
    <row r="980">
      <c r="L980" s="15"/>
    </row>
    <row r="981">
      <c r="L981" s="15"/>
    </row>
    <row r="982">
      <c r="L982" s="15"/>
    </row>
    <row r="983">
      <c r="L983" s="15"/>
    </row>
    <row r="984">
      <c r="L984" s="15"/>
    </row>
    <row r="985">
      <c r="L985" s="15"/>
    </row>
    <row r="986">
      <c r="L986" s="15"/>
    </row>
    <row r="987">
      <c r="L987" s="15"/>
    </row>
    <row r="988">
      <c r="L988" s="15"/>
    </row>
    <row r="989">
      <c r="L989" s="15"/>
    </row>
    <row r="990">
      <c r="L990" s="15"/>
    </row>
    <row r="991">
      <c r="L991" s="15"/>
    </row>
    <row r="992">
      <c r="L992" s="15"/>
    </row>
    <row r="993">
      <c r="L993" s="15"/>
    </row>
    <row r="994">
      <c r="L994" s="15"/>
    </row>
    <row r="995">
      <c r="L995" s="15"/>
    </row>
    <row r="996">
      <c r="L996" s="15"/>
    </row>
    <row r="997">
      <c r="L997" s="15"/>
    </row>
    <row r="998">
      <c r="L998" s="15"/>
    </row>
    <row r="999">
      <c r="L999" s="15"/>
    </row>
    <row r="1000">
      <c r="L1000" s="15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2.86"/>
    <col customWidth="1" min="2" max="2" width="16.0"/>
    <col customWidth="1" min="3" max="3" width="9.86"/>
    <col customWidth="1" min="4" max="4" width="10.57"/>
    <col customWidth="1" min="5" max="6" width="9.14"/>
    <col customWidth="1" min="7" max="7" width="11.57"/>
    <col customWidth="1" min="8" max="8" width="5.43"/>
    <col customWidth="1" min="9" max="9" width="8.0"/>
    <col customWidth="1" min="10" max="10" width="17.29"/>
    <col customWidth="1" min="11" max="11" width="12.29"/>
    <col customWidth="1" min="12" max="12" width="14.71"/>
    <col hidden="1" min="14" max="15" width="14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47</v>
      </c>
      <c r="H1" s="2" t="s">
        <v>48</v>
      </c>
      <c r="I1" s="2" t="s">
        <v>49</v>
      </c>
      <c r="J1" s="1" t="s">
        <v>7</v>
      </c>
      <c r="K1" s="2" t="s">
        <v>8</v>
      </c>
      <c r="L1" s="2" t="s">
        <v>9</v>
      </c>
      <c r="M1" s="17" t="s">
        <v>50</v>
      </c>
      <c r="N1" s="17" t="s">
        <v>61</v>
      </c>
      <c r="O1" s="17" t="s">
        <v>62</v>
      </c>
    </row>
    <row r="2">
      <c r="A2" s="9" t="s">
        <v>10</v>
      </c>
      <c r="B2" s="9" t="s">
        <v>38</v>
      </c>
      <c r="C2" s="9" t="s">
        <v>39</v>
      </c>
      <c r="D2" s="9" t="s">
        <v>13</v>
      </c>
      <c r="E2" s="9" t="s">
        <v>14</v>
      </c>
      <c r="F2" s="9">
        <v>110.0</v>
      </c>
      <c r="G2" s="9" t="s">
        <v>55</v>
      </c>
      <c r="H2" s="9">
        <v>2022.0</v>
      </c>
      <c r="I2" s="9" t="s">
        <v>51</v>
      </c>
      <c r="J2" s="9">
        <v>6.237637396687077</v>
      </c>
      <c r="K2" s="9">
        <v>4.288233633703155</v>
      </c>
      <c r="L2" s="15">
        <v>3.573528028085962</v>
      </c>
      <c r="M2" s="18"/>
      <c r="N2" s="18"/>
      <c r="O2" s="18"/>
    </row>
    <row r="3">
      <c r="A3" s="9" t="s">
        <v>10</v>
      </c>
      <c r="B3" s="9" t="s">
        <v>38</v>
      </c>
      <c r="C3" s="9" t="s">
        <v>39</v>
      </c>
      <c r="D3" s="9" t="s">
        <v>13</v>
      </c>
      <c r="E3" s="9" t="s">
        <v>14</v>
      </c>
      <c r="F3" s="9">
        <v>110.0</v>
      </c>
      <c r="G3" s="9" t="s">
        <v>55</v>
      </c>
      <c r="H3" s="9">
        <v>2022.0</v>
      </c>
      <c r="I3" s="9" t="s">
        <v>52</v>
      </c>
      <c r="J3" s="9">
        <v>4.590015517353109</v>
      </c>
      <c r="K3" s="9">
        <v>3.3211793666536047</v>
      </c>
      <c r="L3" s="15">
        <v>2.767649472211337</v>
      </c>
    </row>
    <row r="4">
      <c r="A4" s="9" t="s">
        <v>10</v>
      </c>
      <c r="B4" s="9" t="s">
        <v>38</v>
      </c>
      <c r="C4" s="9" t="s">
        <v>39</v>
      </c>
      <c r="D4" s="9" t="s">
        <v>13</v>
      </c>
      <c r="E4" s="9" t="s">
        <v>14</v>
      </c>
      <c r="F4" s="9">
        <v>110.0</v>
      </c>
      <c r="G4" s="9" t="s">
        <v>55</v>
      </c>
      <c r="H4" s="9">
        <v>2022.0</v>
      </c>
      <c r="I4" s="9" t="s">
        <v>53</v>
      </c>
      <c r="J4" s="9">
        <v>5.703660139165748</v>
      </c>
      <c r="K4" s="9">
        <v>4.038773580593188</v>
      </c>
      <c r="L4" s="15">
        <v>3.365644650494323</v>
      </c>
    </row>
    <row r="5">
      <c r="A5" s="9" t="s">
        <v>10</v>
      </c>
      <c r="B5" s="9" t="s">
        <v>38</v>
      </c>
      <c r="C5" s="9" t="s">
        <v>39</v>
      </c>
      <c r="D5" s="9" t="s">
        <v>13</v>
      </c>
      <c r="E5" s="9" t="s">
        <v>14</v>
      </c>
      <c r="F5" s="9">
        <v>110.0</v>
      </c>
      <c r="G5" s="9" t="s">
        <v>55</v>
      </c>
      <c r="H5" s="9">
        <v>2022.0</v>
      </c>
      <c r="I5" s="9" t="s">
        <v>54</v>
      </c>
      <c r="J5" s="9">
        <v>7.086340731411497</v>
      </c>
      <c r="K5" s="9">
        <v>4.953184690631497</v>
      </c>
      <c r="L5" s="15">
        <v>4.127653908859581</v>
      </c>
    </row>
    <row r="6">
      <c r="A6" s="9" t="s">
        <v>10</v>
      </c>
      <c r="B6" s="9" t="s">
        <v>38</v>
      </c>
      <c r="C6" s="9" t="s">
        <v>39</v>
      </c>
      <c r="D6" s="9" t="s">
        <v>13</v>
      </c>
      <c r="E6" s="9" t="s">
        <v>14</v>
      </c>
      <c r="F6" s="9">
        <v>110.0</v>
      </c>
      <c r="G6" s="9" t="s">
        <v>55</v>
      </c>
      <c r="H6" s="9">
        <v>2023.0</v>
      </c>
      <c r="I6" s="9" t="s">
        <v>51</v>
      </c>
      <c r="J6" s="9">
        <v>6.6973497425623805</v>
      </c>
      <c r="K6" s="9">
        <v>4.65457545410034</v>
      </c>
      <c r="L6" s="15">
        <v>3.8788128784169498</v>
      </c>
    </row>
    <row r="7">
      <c r="A7" s="9" t="s">
        <v>10</v>
      </c>
      <c r="B7" s="9" t="s">
        <v>38</v>
      </c>
      <c r="C7" s="9" t="s">
        <v>39</v>
      </c>
      <c r="D7" s="9" t="s">
        <v>13</v>
      </c>
      <c r="E7" s="9" t="s">
        <v>14</v>
      </c>
      <c r="F7" s="9">
        <v>110.0</v>
      </c>
      <c r="G7" s="9" t="s">
        <v>55</v>
      </c>
      <c r="H7" s="9">
        <v>2023.0</v>
      </c>
      <c r="I7" s="9" t="s">
        <v>52</v>
      </c>
      <c r="J7" s="9">
        <v>5.346775389158864</v>
      </c>
      <c r="K7" s="9">
        <v>3.9566976755158776</v>
      </c>
      <c r="L7" s="15">
        <v>3.297248062929898</v>
      </c>
    </row>
    <row r="8">
      <c r="A8" s="9" t="s">
        <v>10</v>
      </c>
      <c r="B8" s="9" t="s">
        <v>38</v>
      </c>
      <c r="C8" s="9" t="s">
        <v>39</v>
      </c>
      <c r="D8" s="9" t="s">
        <v>13</v>
      </c>
      <c r="E8" s="9" t="s">
        <v>14</v>
      </c>
      <c r="F8" s="9">
        <v>110.0</v>
      </c>
      <c r="G8" s="9" t="s">
        <v>55</v>
      </c>
      <c r="H8" s="9">
        <v>2023.0</v>
      </c>
      <c r="I8" s="9" t="s">
        <v>53</v>
      </c>
      <c r="J8" s="9">
        <v>6.970528884564402</v>
      </c>
      <c r="K8" s="9">
        <v>5.12465952976748</v>
      </c>
      <c r="L8" s="15">
        <v>4.270549608139566</v>
      </c>
    </row>
    <row r="9">
      <c r="A9" s="9" t="s">
        <v>10</v>
      </c>
      <c r="B9" s="9" t="s">
        <v>38</v>
      </c>
      <c r="C9" s="9" t="s">
        <v>39</v>
      </c>
      <c r="D9" s="9" t="s">
        <v>13</v>
      </c>
      <c r="E9" s="9" t="s">
        <v>14</v>
      </c>
      <c r="F9" s="9">
        <v>110.0</v>
      </c>
      <c r="G9" s="9" t="s">
        <v>55</v>
      </c>
      <c r="H9" s="9">
        <v>2023.0</v>
      </c>
      <c r="I9" s="9" t="s">
        <v>54</v>
      </c>
      <c r="J9" s="9">
        <v>6.062008075801273</v>
      </c>
      <c r="K9" s="9">
        <v>4.391042792216476</v>
      </c>
      <c r="L9" s="15">
        <v>3.6592023268470637</v>
      </c>
    </row>
    <row r="10">
      <c r="A10" s="9" t="s">
        <v>24</v>
      </c>
      <c r="B10" s="9" t="s">
        <v>38</v>
      </c>
      <c r="C10" s="9" t="s">
        <v>39</v>
      </c>
      <c r="D10" s="9" t="s">
        <v>13</v>
      </c>
      <c r="E10" s="9" t="s">
        <v>14</v>
      </c>
      <c r="F10" s="9">
        <v>110.0</v>
      </c>
      <c r="G10" s="9" t="s">
        <v>55</v>
      </c>
      <c r="H10" s="9">
        <v>2022.0</v>
      </c>
      <c r="I10" s="9" t="s">
        <v>51</v>
      </c>
      <c r="J10" s="9">
        <v>14.372304268161182</v>
      </c>
      <c r="K10" s="9">
        <v>10.524981112425174</v>
      </c>
      <c r="L10" s="15">
        <v>8.770817593687646</v>
      </c>
    </row>
    <row r="11">
      <c r="A11" s="9" t="s">
        <v>24</v>
      </c>
      <c r="B11" s="9" t="s">
        <v>38</v>
      </c>
      <c r="C11" s="9" t="s">
        <v>39</v>
      </c>
      <c r="D11" s="9" t="s">
        <v>13</v>
      </c>
      <c r="E11" s="9" t="s">
        <v>14</v>
      </c>
      <c r="F11" s="9">
        <v>110.0</v>
      </c>
      <c r="G11" s="9" t="s">
        <v>55</v>
      </c>
      <c r="H11" s="9">
        <v>2022.0</v>
      </c>
      <c r="I11" s="9" t="s">
        <v>52</v>
      </c>
      <c r="J11" s="9">
        <v>10.879993752240638</v>
      </c>
      <c r="K11" s="9">
        <v>6.735636620657027</v>
      </c>
      <c r="L11" s="15">
        <v>5.613030517214189</v>
      </c>
    </row>
    <row r="12">
      <c r="A12" s="9" t="s">
        <v>24</v>
      </c>
      <c r="B12" s="9" t="s">
        <v>38</v>
      </c>
      <c r="C12" s="9" t="s">
        <v>39</v>
      </c>
      <c r="D12" s="9" t="s">
        <v>13</v>
      </c>
      <c r="E12" s="9" t="s">
        <v>14</v>
      </c>
      <c r="F12" s="9">
        <v>110.0</v>
      </c>
      <c r="G12" s="9" t="s">
        <v>55</v>
      </c>
      <c r="H12" s="9">
        <v>2022.0</v>
      </c>
      <c r="I12" s="9" t="s">
        <v>53</v>
      </c>
      <c r="J12" s="9">
        <v>13.888152694507188</v>
      </c>
      <c r="K12" s="9">
        <v>8.44106262388147</v>
      </c>
      <c r="L12" s="15">
        <v>7.034218853234558</v>
      </c>
    </row>
    <row r="13">
      <c r="A13" s="9" t="s">
        <v>24</v>
      </c>
      <c r="B13" s="9" t="s">
        <v>38</v>
      </c>
      <c r="C13" s="9" t="s">
        <v>39</v>
      </c>
      <c r="D13" s="9" t="s">
        <v>13</v>
      </c>
      <c r="E13" s="9" t="s">
        <v>14</v>
      </c>
      <c r="F13" s="9">
        <v>110.0</v>
      </c>
      <c r="G13" s="9" t="s">
        <v>55</v>
      </c>
      <c r="H13" s="9">
        <v>2022.0</v>
      </c>
      <c r="I13" s="9" t="s">
        <v>54</v>
      </c>
      <c r="J13" s="9">
        <v>15.62520572503208</v>
      </c>
      <c r="K13" s="9">
        <v>9.859780005125053</v>
      </c>
      <c r="L13" s="15">
        <v>8.21648333760421</v>
      </c>
    </row>
    <row r="14">
      <c r="A14" s="9" t="s">
        <v>24</v>
      </c>
      <c r="B14" s="9" t="s">
        <v>38</v>
      </c>
      <c r="C14" s="9" t="s">
        <v>39</v>
      </c>
      <c r="D14" s="9" t="s">
        <v>13</v>
      </c>
      <c r="E14" s="9" t="s">
        <v>14</v>
      </c>
      <c r="F14" s="9">
        <v>110.0</v>
      </c>
      <c r="G14" s="9" t="s">
        <v>55</v>
      </c>
      <c r="H14" s="9">
        <v>2023.0</v>
      </c>
      <c r="I14" s="9" t="s">
        <v>51</v>
      </c>
      <c r="J14" s="9">
        <v>16.63660557364736</v>
      </c>
      <c r="K14" s="9">
        <v>11.29036353974798</v>
      </c>
      <c r="L14" s="15">
        <v>9.408636283123316</v>
      </c>
    </row>
    <row r="15">
      <c r="A15" s="9" t="s">
        <v>24</v>
      </c>
      <c r="B15" s="9" t="s">
        <v>38</v>
      </c>
      <c r="C15" s="9" t="s">
        <v>39</v>
      </c>
      <c r="D15" s="9" t="s">
        <v>13</v>
      </c>
      <c r="E15" s="9" t="s">
        <v>14</v>
      </c>
      <c r="F15" s="9">
        <v>110.0</v>
      </c>
      <c r="G15" s="9" t="s">
        <v>55</v>
      </c>
      <c r="H15" s="9">
        <v>2023.0</v>
      </c>
      <c r="I15" s="9" t="s">
        <v>52</v>
      </c>
      <c r="J15" s="9">
        <v>16.67773087040527</v>
      </c>
      <c r="K15" s="9">
        <v>10.613029200039458</v>
      </c>
      <c r="L15" s="15">
        <v>8.84419100003288</v>
      </c>
    </row>
    <row r="16">
      <c r="A16" s="9" t="s">
        <v>24</v>
      </c>
      <c r="B16" s="9" t="s">
        <v>38</v>
      </c>
      <c r="C16" s="9" t="s">
        <v>39</v>
      </c>
      <c r="D16" s="9" t="s">
        <v>13</v>
      </c>
      <c r="E16" s="9" t="s">
        <v>14</v>
      </c>
      <c r="F16" s="9">
        <v>110.0</v>
      </c>
      <c r="G16" s="9" t="s">
        <v>55</v>
      </c>
      <c r="H16" s="9">
        <v>2023.0</v>
      </c>
      <c r="I16" s="9" t="s">
        <v>53</v>
      </c>
      <c r="J16" s="9">
        <v>15.019083041415065</v>
      </c>
      <c r="K16" s="9">
        <v>10.008468556716224</v>
      </c>
      <c r="L16" s="15">
        <v>8.340390463930186</v>
      </c>
    </row>
    <row r="17">
      <c r="A17" s="9" t="s">
        <v>24</v>
      </c>
      <c r="B17" s="9" t="s">
        <v>38</v>
      </c>
      <c r="C17" s="9" t="s">
        <v>39</v>
      </c>
      <c r="D17" s="9" t="s">
        <v>13</v>
      </c>
      <c r="E17" s="9" t="s">
        <v>14</v>
      </c>
      <c r="F17" s="9">
        <v>110.0</v>
      </c>
      <c r="G17" s="9" t="s">
        <v>55</v>
      </c>
      <c r="H17" s="9">
        <v>2023.0</v>
      </c>
      <c r="I17" s="9" t="s">
        <v>54</v>
      </c>
      <c r="J17" s="9">
        <v>14.607855391707492</v>
      </c>
      <c r="K17" s="9">
        <v>9.390849584026805</v>
      </c>
      <c r="L17" s="15">
        <v>7.825707986689005</v>
      </c>
    </row>
    <row r="18">
      <c r="A18" s="9" t="s">
        <v>25</v>
      </c>
      <c r="B18" s="9" t="s">
        <v>38</v>
      </c>
      <c r="C18" s="9" t="s">
        <v>39</v>
      </c>
      <c r="D18" s="9" t="s">
        <v>13</v>
      </c>
      <c r="E18" s="9" t="s">
        <v>14</v>
      </c>
      <c r="F18" s="9">
        <v>110.0</v>
      </c>
      <c r="G18" s="9" t="s">
        <v>55</v>
      </c>
      <c r="H18" s="9">
        <v>2022.0</v>
      </c>
      <c r="I18" s="9" t="s">
        <v>51</v>
      </c>
      <c r="J18" s="9">
        <v>26.170089560647863</v>
      </c>
      <c r="K18" s="9">
        <v>17.2512519373974</v>
      </c>
      <c r="L18" s="15">
        <v>14.376043281164499</v>
      </c>
    </row>
    <row r="19">
      <c r="A19" s="9" t="s">
        <v>25</v>
      </c>
      <c r="B19" s="9" t="s">
        <v>38</v>
      </c>
      <c r="C19" s="9" t="s">
        <v>39</v>
      </c>
      <c r="D19" s="9" t="s">
        <v>13</v>
      </c>
      <c r="E19" s="9" t="s">
        <v>14</v>
      </c>
      <c r="F19" s="9">
        <v>110.0</v>
      </c>
      <c r="G19" s="9" t="s">
        <v>55</v>
      </c>
      <c r="H19" s="9">
        <v>2022.0</v>
      </c>
      <c r="I19" s="9" t="s">
        <v>52</v>
      </c>
      <c r="J19" s="9">
        <v>26.863527445341912</v>
      </c>
      <c r="K19" s="9">
        <v>18.65565045925735</v>
      </c>
      <c r="L19" s="15">
        <v>15.546375382714459</v>
      </c>
    </row>
    <row r="20">
      <c r="A20" s="9" t="s">
        <v>25</v>
      </c>
      <c r="B20" s="9" t="s">
        <v>38</v>
      </c>
      <c r="C20" s="9" t="s">
        <v>39</v>
      </c>
      <c r="D20" s="9" t="s">
        <v>13</v>
      </c>
      <c r="E20" s="9" t="s">
        <v>14</v>
      </c>
      <c r="F20" s="9">
        <v>110.0</v>
      </c>
      <c r="G20" s="9" t="s">
        <v>55</v>
      </c>
      <c r="H20" s="9">
        <v>2022.0</v>
      </c>
      <c r="I20" s="9" t="s">
        <v>53</v>
      </c>
      <c r="J20" s="9">
        <v>26.478296011836505</v>
      </c>
      <c r="K20" s="9">
        <v>19.404569285207472</v>
      </c>
      <c r="L20" s="15">
        <v>16.170474404339558</v>
      </c>
    </row>
    <row r="21">
      <c r="A21" s="9" t="s">
        <v>25</v>
      </c>
      <c r="B21" s="9" t="s">
        <v>38</v>
      </c>
      <c r="C21" s="9" t="s">
        <v>39</v>
      </c>
      <c r="D21" s="9" t="s">
        <v>13</v>
      </c>
      <c r="E21" s="9" t="s">
        <v>14</v>
      </c>
      <c r="F21" s="9">
        <v>110.0</v>
      </c>
      <c r="G21" s="9" t="s">
        <v>55</v>
      </c>
      <c r="H21" s="9">
        <v>2022.0</v>
      </c>
      <c r="I21" s="9" t="s">
        <v>54</v>
      </c>
      <c r="J21" s="9">
        <v>27.19189360064357</v>
      </c>
      <c r="K21" s="9">
        <v>19.39672676344283</v>
      </c>
      <c r="L21" s="15">
        <v>16.163938969535696</v>
      </c>
    </row>
    <row r="22">
      <c r="A22" s="9" t="s">
        <v>25</v>
      </c>
      <c r="B22" s="9" t="s">
        <v>38</v>
      </c>
      <c r="C22" s="9" t="s">
        <v>39</v>
      </c>
      <c r="D22" s="9" t="s">
        <v>13</v>
      </c>
      <c r="E22" s="9" t="s">
        <v>14</v>
      </c>
      <c r="F22" s="9">
        <v>110.0</v>
      </c>
      <c r="G22" s="9" t="s">
        <v>55</v>
      </c>
      <c r="H22" s="9">
        <v>2023.0</v>
      </c>
      <c r="I22" s="9" t="s">
        <v>51</v>
      </c>
      <c r="J22" s="9">
        <v>27.42496616826472</v>
      </c>
      <c r="K22" s="9">
        <v>17.562490724072358</v>
      </c>
      <c r="L22" s="15">
        <v>14.635408936726964</v>
      </c>
    </row>
    <row r="23">
      <c r="A23" s="9" t="s">
        <v>25</v>
      </c>
      <c r="B23" s="9" t="s">
        <v>38</v>
      </c>
      <c r="C23" s="9" t="s">
        <v>39</v>
      </c>
      <c r="D23" s="9" t="s">
        <v>13</v>
      </c>
      <c r="E23" s="9" t="s">
        <v>14</v>
      </c>
      <c r="F23" s="9">
        <v>110.0</v>
      </c>
      <c r="G23" s="9" t="s">
        <v>55</v>
      </c>
      <c r="H23" s="9">
        <v>2023.0</v>
      </c>
      <c r="I23" s="9" t="s">
        <v>52</v>
      </c>
      <c r="J23" s="9">
        <v>30.146086515082846</v>
      </c>
      <c r="K23" s="9">
        <v>21.700191420495088</v>
      </c>
      <c r="L23" s="15">
        <v>18.083492850412576</v>
      </c>
    </row>
    <row r="24">
      <c r="A24" s="9" t="s">
        <v>25</v>
      </c>
      <c r="B24" s="9" t="s">
        <v>38</v>
      </c>
      <c r="C24" s="9" t="s">
        <v>39</v>
      </c>
      <c r="D24" s="9" t="s">
        <v>13</v>
      </c>
      <c r="E24" s="9" t="s">
        <v>14</v>
      </c>
      <c r="F24" s="9">
        <v>110.0</v>
      </c>
      <c r="G24" s="9" t="s">
        <v>55</v>
      </c>
      <c r="H24" s="9">
        <v>2023.0</v>
      </c>
      <c r="I24" s="9" t="s">
        <v>53</v>
      </c>
      <c r="J24" s="9">
        <v>31.915783672505686</v>
      </c>
      <c r="K24" s="9">
        <v>23.424359407036793</v>
      </c>
      <c r="L24" s="15">
        <v>19.520299505863992</v>
      </c>
    </row>
    <row r="25">
      <c r="A25" s="9" t="s">
        <v>25</v>
      </c>
      <c r="B25" s="9" t="s">
        <v>38</v>
      </c>
      <c r="C25" s="9" t="s">
        <v>39</v>
      </c>
      <c r="D25" s="9" t="s">
        <v>13</v>
      </c>
      <c r="E25" s="9" t="s">
        <v>14</v>
      </c>
      <c r="F25" s="9">
        <v>110.0</v>
      </c>
      <c r="G25" s="9" t="s">
        <v>55</v>
      </c>
      <c r="H25" s="9">
        <v>2023.0</v>
      </c>
      <c r="I25" s="9" t="s">
        <v>54</v>
      </c>
      <c r="J25" s="9">
        <v>33.91981109543675</v>
      </c>
      <c r="K25" s="9">
        <v>24.579535187749308</v>
      </c>
      <c r="L25" s="15">
        <v>20.48294598979109</v>
      </c>
    </row>
    <row r="26">
      <c r="A26" s="9" t="s">
        <v>26</v>
      </c>
      <c r="B26" s="9" t="s">
        <v>38</v>
      </c>
      <c r="C26" s="9" t="s">
        <v>39</v>
      </c>
      <c r="D26" s="9" t="s">
        <v>13</v>
      </c>
      <c r="E26" s="9" t="s">
        <v>14</v>
      </c>
      <c r="F26" s="9">
        <v>110.0</v>
      </c>
      <c r="G26" s="9" t="s">
        <v>55</v>
      </c>
      <c r="H26" s="9">
        <v>2022.0</v>
      </c>
      <c r="I26" s="9" t="s">
        <v>51</v>
      </c>
      <c r="J26" s="9">
        <v>19.477482568786023</v>
      </c>
      <c r="K26" s="9">
        <v>12.852486697418888</v>
      </c>
      <c r="L26" s="15">
        <v>10.710405581182407</v>
      </c>
    </row>
    <row r="27">
      <c r="A27" s="9" t="s">
        <v>26</v>
      </c>
      <c r="B27" s="9" t="s">
        <v>38</v>
      </c>
      <c r="C27" s="9" t="s">
        <v>39</v>
      </c>
      <c r="D27" s="9" t="s">
        <v>13</v>
      </c>
      <c r="E27" s="9" t="s">
        <v>14</v>
      </c>
      <c r="F27" s="9">
        <v>110.0</v>
      </c>
      <c r="G27" s="9" t="s">
        <v>55</v>
      </c>
      <c r="H27" s="9">
        <v>2022.0</v>
      </c>
      <c r="I27" s="9" t="s">
        <v>52</v>
      </c>
      <c r="J27" s="9">
        <v>16.37191134688026</v>
      </c>
      <c r="K27" s="9">
        <v>10.715400986560995</v>
      </c>
      <c r="L27" s="15">
        <v>8.929500822134163</v>
      </c>
    </row>
    <row r="28">
      <c r="A28" s="9" t="s">
        <v>26</v>
      </c>
      <c r="B28" s="9" t="s">
        <v>38</v>
      </c>
      <c r="C28" s="9" t="s">
        <v>39</v>
      </c>
      <c r="D28" s="9" t="s">
        <v>13</v>
      </c>
      <c r="E28" s="9" t="s">
        <v>14</v>
      </c>
      <c r="F28" s="9">
        <v>110.0</v>
      </c>
      <c r="G28" s="9" t="s">
        <v>55</v>
      </c>
      <c r="H28" s="9">
        <v>2022.0</v>
      </c>
      <c r="I28" s="9" t="s">
        <v>53</v>
      </c>
      <c r="J28" s="9">
        <v>20.640346657306228</v>
      </c>
      <c r="K28" s="9">
        <v>14.92733430312507</v>
      </c>
      <c r="L28" s="15">
        <v>12.439445252604225</v>
      </c>
    </row>
    <row r="29">
      <c r="A29" s="9" t="s">
        <v>26</v>
      </c>
      <c r="B29" s="9" t="s">
        <v>38</v>
      </c>
      <c r="C29" s="9" t="s">
        <v>39</v>
      </c>
      <c r="D29" s="9" t="s">
        <v>13</v>
      </c>
      <c r="E29" s="9" t="s">
        <v>14</v>
      </c>
      <c r="F29" s="9">
        <v>110.0</v>
      </c>
      <c r="G29" s="9" t="s">
        <v>55</v>
      </c>
      <c r="H29" s="9">
        <v>2022.0</v>
      </c>
      <c r="I29" s="9" t="s">
        <v>54</v>
      </c>
      <c r="J29" s="9">
        <v>22.95657254834857</v>
      </c>
      <c r="K29" s="9">
        <v>15.24087074364932</v>
      </c>
      <c r="L29" s="15">
        <v>12.700725619707766</v>
      </c>
    </row>
    <row r="30">
      <c r="A30" s="9" t="s">
        <v>26</v>
      </c>
      <c r="B30" s="9" t="s">
        <v>38</v>
      </c>
      <c r="C30" s="9" t="s">
        <v>39</v>
      </c>
      <c r="D30" s="9" t="s">
        <v>13</v>
      </c>
      <c r="E30" s="9" t="s">
        <v>14</v>
      </c>
      <c r="F30" s="9">
        <v>110.0</v>
      </c>
      <c r="G30" s="9" t="s">
        <v>55</v>
      </c>
      <c r="H30" s="9">
        <v>2023.0</v>
      </c>
      <c r="I30" s="9" t="s">
        <v>51</v>
      </c>
      <c r="J30" s="9">
        <v>25.665773385131395</v>
      </c>
      <c r="K30" s="9">
        <v>18.250437854052134</v>
      </c>
      <c r="L30" s="15">
        <v>15.208698211710113</v>
      </c>
    </row>
    <row r="31">
      <c r="A31" s="9" t="s">
        <v>26</v>
      </c>
      <c r="B31" s="9" t="s">
        <v>38</v>
      </c>
      <c r="C31" s="9" t="s">
        <v>39</v>
      </c>
      <c r="D31" s="9" t="s">
        <v>13</v>
      </c>
      <c r="E31" s="9" t="s">
        <v>14</v>
      </c>
      <c r="F31" s="9">
        <v>110.0</v>
      </c>
      <c r="G31" s="9" t="s">
        <v>55</v>
      </c>
      <c r="H31" s="9">
        <v>2023.0</v>
      </c>
      <c r="I31" s="9" t="s">
        <v>52</v>
      </c>
      <c r="J31" s="9">
        <v>19.957801672376903</v>
      </c>
      <c r="K31" s="9">
        <v>14.322889571929997</v>
      </c>
      <c r="L31" s="15">
        <v>11.935741309941664</v>
      </c>
    </row>
    <row r="32">
      <c r="A32" s="9" t="s">
        <v>26</v>
      </c>
      <c r="B32" s="9" t="s">
        <v>38</v>
      </c>
      <c r="C32" s="9" t="s">
        <v>39</v>
      </c>
      <c r="D32" s="9" t="s">
        <v>13</v>
      </c>
      <c r="E32" s="9" t="s">
        <v>14</v>
      </c>
      <c r="F32" s="9">
        <v>110.0</v>
      </c>
      <c r="G32" s="9" t="s">
        <v>55</v>
      </c>
      <c r="H32" s="9">
        <v>2023.0</v>
      </c>
      <c r="I32" s="9" t="s">
        <v>53</v>
      </c>
      <c r="J32" s="9">
        <v>24.485131881128908</v>
      </c>
      <c r="K32" s="9">
        <v>16.563156283564837</v>
      </c>
      <c r="L32" s="15">
        <v>13.80263023630403</v>
      </c>
    </row>
    <row r="33">
      <c r="A33" s="9" t="s">
        <v>26</v>
      </c>
      <c r="B33" s="9" t="s">
        <v>38</v>
      </c>
      <c r="C33" s="9" t="s">
        <v>39</v>
      </c>
      <c r="D33" s="9" t="s">
        <v>13</v>
      </c>
      <c r="E33" s="9" t="s">
        <v>14</v>
      </c>
      <c r="F33" s="9">
        <v>110.0</v>
      </c>
      <c r="G33" s="9" t="s">
        <v>55</v>
      </c>
      <c r="H33" s="9">
        <v>2023.0</v>
      </c>
      <c r="I33" s="9" t="s">
        <v>54</v>
      </c>
      <c r="J33" s="9">
        <v>21.573552304985125</v>
      </c>
      <c r="K33" s="9">
        <v>14.586211483724679</v>
      </c>
      <c r="L33" s="15">
        <v>12.155176236437232</v>
      </c>
    </row>
    <row r="34">
      <c r="A34" s="9" t="s">
        <v>10</v>
      </c>
      <c r="B34" s="9" t="s">
        <v>38</v>
      </c>
      <c r="C34" s="9" t="s">
        <v>40</v>
      </c>
      <c r="D34" s="9" t="s">
        <v>13</v>
      </c>
      <c r="E34" s="9" t="s">
        <v>14</v>
      </c>
      <c r="F34" s="9">
        <v>110.0</v>
      </c>
      <c r="G34" s="9" t="s">
        <v>56</v>
      </c>
      <c r="H34" s="9">
        <v>2022.0</v>
      </c>
      <c r="I34" s="9" t="s">
        <v>51</v>
      </c>
      <c r="J34" s="9">
        <v>11.194077178152938</v>
      </c>
      <c r="K34" s="9">
        <v>7.041240759391692</v>
      </c>
      <c r="L34" s="15">
        <v>5.4368317190886355</v>
      </c>
    </row>
    <row r="35">
      <c r="A35" s="9" t="s">
        <v>10</v>
      </c>
      <c r="B35" s="9" t="s">
        <v>38</v>
      </c>
      <c r="C35" s="9" t="s">
        <v>40</v>
      </c>
      <c r="D35" s="9" t="s">
        <v>13</v>
      </c>
      <c r="E35" s="9" t="s">
        <v>14</v>
      </c>
      <c r="F35" s="9">
        <v>110.0</v>
      </c>
      <c r="G35" s="9" t="s">
        <v>56</v>
      </c>
      <c r="H35" s="9">
        <v>2022.0</v>
      </c>
      <c r="I35" s="9" t="s">
        <v>52</v>
      </c>
      <c r="J35" s="9">
        <v>12.89568487696306</v>
      </c>
      <c r="K35" s="9">
        <v>9.122509160908619</v>
      </c>
      <c r="L35" s="15">
        <v>7.043864690686911</v>
      </c>
    </row>
    <row r="36">
      <c r="A36" s="9" t="s">
        <v>10</v>
      </c>
      <c r="B36" s="9" t="s">
        <v>38</v>
      </c>
      <c r="C36" s="9" t="s">
        <v>40</v>
      </c>
      <c r="D36" s="9" t="s">
        <v>13</v>
      </c>
      <c r="E36" s="9" t="s">
        <v>14</v>
      </c>
      <c r="F36" s="9">
        <v>110.0</v>
      </c>
      <c r="G36" s="9" t="s">
        <v>56</v>
      </c>
      <c r="H36" s="9">
        <v>2022.0</v>
      </c>
      <c r="I36" s="9" t="s">
        <v>53</v>
      </c>
      <c r="J36" s="9">
        <v>11.690200633420233</v>
      </c>
      <c r="K36" s="9">
        <v>7.75579281761829</v>
      </c>
      <c r="L36" s="15">
        <v>5.9885667652059995</v>
      </c>
    </row>
    <row r="37">
      <c r="A37" s="9" t="s">
        <v>10</v>
      </c>
      <c r="B37" s="9" t="s">
        <v>38</v>
      </c>
      <c r="C37" s="9" t="s">
        <v>40</v>
      </c>
      <c r="D37" s="9" t="s">
        <v>13</v>
      </c>
      <c r="E37" s="9" t="s">
        <v>14</v>
      </c>
      <c r="F37" s="9">
        <v>110.0</v>
      </c>
      <c r="G37" s="9" t="s">
        <v>56</v>
      </c>
      <c r="H37" s="9">
        <v>2022.0</v>
      </c>
      <c r="I37" s="9" t="s">
        <v>54</v>
      </c>
      <c r="J37" s="9">
        <v>9.725069877025021</v>
      </c>
      <c r="K37" s="9">
        <v>6.81293063622409</v>
      </c>
      <c r="L37" s="15">
        <v>5.260544078622569</v>
      </c>
    </row>
    <row r="38">
      <c r="A38" s="9" t="s">
        <v>10</v>
      </c>
      <c r="B38" s="9" t="s">
        <v>38</v>
      </c>
      <c r="C38" s="9" t="s">
        <v>40</v>
      </c>
      <c r="D38" s="9" t="s">
        <v>13</v>
      </c>
      <c r="E38" s="9" t="s">
        <v>14</v>
      </c>
      <c r="F38" s="9">
        <v>110.0</v>
      </c>
      <c r="G38" s="9" t="s">
        <v>56</v>
      </c>
      <c r="H38" s="9">
        <v>2023.0</v>
      </c>
      <c r="I38" s="9" t="s">
        <v>51</v>
      </c>
      <c r="J38" s="9">
        <v>9.859289977041357</v>
      </c>
      <c r="K38" s="9">
        <v>7.338016855850834</v>
      </c>
      <c r="L38" s="15">
        <v>5.665984754730008</v>
      </c>
    </row>
    <row r="39">
      <c r="A39" s="9" t="s">
        <v>10</v>
      </c>
      <c r="B39" s="9" t="s">
        <v>38</v>
      </c>
      <c r="C39" s="9" t="s">
        <v>40</v>
      </c>
      <c r="D39" s="9" t="s">
        <v>13</v>
      </c>
      <c r="E39" s="9" t="s">
        <v>14</v>
      </c>
      <c r="F39" s="9">
        <v>110.0</v>
      </c>
      <c r="G39" s="9" t="s">
        <v>56</v>
      </c>
      <c r="H39" s="9">
        <v>2023.0</v>
      </c>
      <c r="I39" s="9" t="s">
        <v>52</v>
      </c>
      <c r="J39" s="9">
        <v>9.330161353273326</v>
      </c>
      <c r="K39" s="9">
        <v>5.654847026751906</v>
      </c>
      <c r="L39" s="15">
        <v>4.366340071617563</v>
      </c>
    </row>
    <row r="40">
      <c r="A40" s="9" t="s">
        <v>10</v>
      </c>
      <c r="B40" s="9" t="s">
        <v>38</v>
      </c>
      <c r="C40" s="9" t="s">
        <v>40</v>
      </c>
      <c r="D40" s="9" t="s">
        <v>13</v>
      </c>
      <c r="E40" s="9" t="s">
        <v>14</v>
      </c>
      <c r="F40" s="9">
        <v>110.0</v>
      </c>
      <c r="G40" s="9" t="s">
        <v>56</v>
      </c>
      <c r="H40" s="9">
        <v>2023.0</v>
      </c>
      <c r="I40" s="9" t="s">
        <v>53</v>
      </c>
      <c r="J40" s="9">
        <v>9.310875232862685</v>
      </c>
      <c r="K40" s="9">
        <v>5.983540222833042</v>
      </c>
      <c r="L40" s="15">
        <v>4.6201376131827985</v>
      </c>
    </row>
    <row r="41">
      <c r="A41" s="9" t="s">
        <v>10</v>
      </c>
      <c r="B41" s="9" t="s">
        <v>38</v>
      </c>
      <c r="C41" s="9" t="s">
        <v>40</v>
      </c>
      <c r="D41" s="9" t="s">
        <v>13</v>
      </c>
      <c r="E41" s="9" t="s">
        <v>14</v>
      </c>
      <c r="F41" s="9">
        <v>110.0</v>
      </c>
      <c r="G41" s="9" t="s">
        <v>56</v>
      </c>
      <c r="H41" s="9">
        <v>2023.0</v>
      </c>
      <c r="I41" s="9" t="s">
        <v>54</v>
      </c>
      <c r="J41" s="9">
        <v>9.607691929651999</v>
      </c>
      <c r="K41" s="9">
        <v>6.594174846345428</v>
      </c>
      <c r="L41" s="15">
        <v>5.091633732024885</v>
      </c>
    </row>
    <row r="42">
      <c r="A42" s="9" t="s">
        <v>24</v>
      </c>
      <c r="B42" s="9" t="s">
        <v>38</v>
      </c>
      <c r="C42" s="9" t="s">
        <v>40</v>
      </c>
      <c r="D42" s="9" t="s">
        <v>13</v>
      </c>
      <c r="E42" s="9" t="s">
        <v>14</v>
      </c>
      <c r="F42" s="9">
        <v>110.0</v>
      </c>
      <c r="G42" s="9" t="s">
        <v>56</v>
      </c>
      <c r="H42" s="9">
        <v>2022.0</v>
      </c>
      <c r="I42" s="9" t="s">
        <v>51</v>
      </c>
      <c r="J42" s="9">
        <v>16.000919533594768</v>
      </c>
      <c r="K42" s="9">
        <v>11.694074809645473</v>
      </c>
      <c r="L42" s="15">
        <v>9.029476341321498</v>
      </c>
    </row>
    <row r="43">
      <c r="A43" s="9" t="s">
        <v>24</v>
      </c>
      <c r="B43" s="9" t="s">
        <v>38</v>
      </c>
      <c r="C43" s="9" t="s">
        <v>40</v>
      </c>
      <c r="D43" s="9" t="s">
        <v>13</v>
      </c>
      <c r="E43" s="9" t="s">
        <v>14</v>
      </c>
      <c r="F43" s="9">
        <v>110.0</v>
      </c>
      <c r="G43" s="9" t="s">
        <v>56</v>
      </c>
      <c r="H43" s="9">
        <v>2022.0</v>
      </c>
      <c r="I43" s="9" t="s">
        <v>52</v>
      </c>
      <c r="J43" s="9">
        <v>20.787690787596382</v>
      </c>
      <c r="K43" s="9">
        <v>13.056993005216587</v>
      </c>
      <c r="L43" s="15">
        <v>10.081841560664495</v>
      </c>
    </row>
    <row r="44">
      <c r="A44" s="9" t="s">
        <v>24</v>
      </c>
      <c r="B44" s="9" t="s">
        <v>38</v>
      </c>
      <c r="C44" s="9" t="s">
        <v>40</v>
      </c>
      <c r="D44" s="9" t="s">
        <v>13</v>
      </c>
      <c r="E44" s="9" t="s">
        <v>14</v>
      </c>
      <c r="F44" s="9">
        <v>110.0</v>
      </c>
      <c r="G44" s="9" t="s">
        <v>56</v>
      </c>
      <c r="H44" s="9">
        <v>2022.0</v>
      </c>
      <c r="I44" s="9" t="s">
        <v>53</v>
      </c>
      <c r="J44" s="9">
        <v>21.22252841137726</v>
      </c>
      <c r="K44" s="9">
        <v>13.257008489325614</v>
      </c>
      <c r="L44" s="15">
        <v>10.236281746062554</v>
      </c>
    </row>
    <row r="45">
      <c r="A45" s="9" t="s">
        <v>24</v>
      </c>
      <c r="B45" s="9" t="s">
        <v>38</v>
      </c>
      <c r="C45" s="9" t="s">
        <v>40</v>
      </c>
      <c r="D45" s="9" t="s">
        <v>13</v>
      </c>
      <c r="E45" s="9" t="s">
        <v>14</v>
      </c>
      <c r="F45" s="9">
        <v>110.0</v>
      </c>
      <c r="G45" s="9" t="s">
        <v>56</v>
      </c>
      <c r="H45" s="9">
        <v>2022.0</v>
      </c>
      <c r="I45" s="9" t="s">
        <v>54</v>
      </c>
      <c r="J45" s="9">
        <v>22.082737676303825</v>
      </c>
      <c r="K45" s="9">
        <v>15.192486211884654</v>
      </c>
      <c r="L45" s="15">
        <v>11.730743735529808</v>
      </c>
    </row>
    <row r="46">
      <c r="A46" s="9" t="s">
        <v>24</v>
      </c>
      <c r="B46" s="9" t="s">
        <v>38</v>
      </c>
      <c r="C46" s="9" t="s">
        <v>40</v>
      </c>
      <c r="D46" s="9" t="s">
        <v>13</v>
      </c>
      <c r="E46" s="9" t="s">
        <v>14</v>
      </c>
      <c r="F46" s="9">
        <v>110.0</v>
      </c>
      <c r="G46" s="9" t="s">
        <v>56</v>
      </c>
      <c r="H46" s="9">
        <v>2023.0</v>
      </c>
      <c r="I46" s="9" t="s">
        <v>51</v>
      </c>
      <c r="J46" s="9">
        <v>19.98143025574325</v>
      </c>
      <c r="K46" s="9">
        <v>13.177179856986944</v>
      </c>
      <c r="L46" s="15">
        <v>10.174642774293062</v>
      </c>
    </row>
    <row r="47">
      <c r="A47" s="9" t="s">
        <v>24</v>
      </c>
      <c r="B47" s="9" t="s">
        <v>38</v>
      </c>
      <c r="C47" s="9" t="s">
        <v>40</v>
      </c>
      <c r="D47" s="9" t="s">
        <v>13</v>
      </c>
      <c r="E47" s="9" t="s">
        <v>14</v>
      </c>
      <c r="F47" s="9">
        <v>110.0</v>
      </c>
      <c r="G47" s="9" t="s">
        <v>56</v>
      </c>
      <c r="H47" s="9">
        <v>2023.0</v>
      </c>
      <c r="I47" s="9" t="s">
        <v>52</v>
      </c>
      <c r="J47" s="9">
        <v>13.284677504844854</v>
      </c>
      <c r="K47" s="9">
        <v>9.253069636861428</v>
      </c>
      <c r="L47" s="15">
        <v>7.144675806394431</v>
      </c>
    </row>
    <row r="48">
      <c r="A48" s="9" t="s">
        <v>24</v>
      </c>
      <c r="B48" s="9" t="s">
        <v>38</v>
      </c>
      <c r="C48" s="9" t="s">
        <v>40</v>
      </c>
      <c r="D48" s="9" t="s">
        <v>13</v>
      </c>
      <c r="E48" s="9" t="s">
        <v>14</v>
      </c>
      <c r="F48" s="9">
        <v>110.0</v>
      </c>
      <c r="G48" s="9" t="s">
        <v>56</v>
      </c>
      <c r="H48" s="9">
        <v>2023.0</v>
      </c>
      <c r="I48" s="9" t="s">
        <v>53</v>
      </c>
      <c r="J48" s="9">
        <v>12.949439121084625</v>
      </c>
      <c r="K48" s="9">
        <v>8.273543261947584</v>
      </c>
      <c r="L48" s="15">
        <v>6.388343187358184</v>
      </c>
    </row>
    <row r="49">
      <c r="A49" s="9" t="s">
        <v>24</v>
      </c>
      <c r="B49" s="9" t="s">
        <v>38</v>
      </c>
      <c r="C49" s="9" t="s">
        <v>40</v>
      </c>
      <c r="D49" s="9" t="s">
        <v>13</v>
      </c>
      <c r="E49" s="9" t="s">
        <v>14</v>
      </c>
      <c r="F49" s="9">
        <v>110.0</v>
      </c>
      <c r="G49" s="9" t="s">
        <v>56</v>
      </c>
      <c r="H49" s="9">
        <v>2023.0</v>
      </c>
      <c r="I49" s="9" t="s">
        <v>54</v>
      </c>
      <c r="J49" s="9">
        <v>10.065587414794528</v>
      </c>
      <c r="K49" s="9">
        <v>6.545838366967951</v>
      </c>
      <c r="L49" s="15">
        <v>5.054311147376999</v>
      </c>
    </row>
    <row r="50">
      <c r="A50" s="9" t="s">
        <v>25</v>
      </c>
      <c r="B50" s="9" t="s">
        <v>38</v>
      </c>
      <c r="C50" s="9" t="s">
        <v>40</v>
      </c>
      <c r="D50" s="9" t="s">
        <v>13</v>
      </c>
      <c r="E50" s="9" t="s">
        <v>14</v>
      </c>
      <c r="F50" s="9">
        <v>110.0</v>
      </c>
      <c r="G50" s="9" t="s">
        <v>56</v>
      </c>
      <c r="H50" s="9">
        <v>2022.0</v>
      </c>
      <c r="I50" s="9" t="s">
        <v>51</v>
      </c>
      <c r="J50" s="9">
        <v>13.021892367106343</v>
      </c>
      <c r="K50" s="9">
        <v>9.008769241401247</v>
      </c>
      <c r="L50" s="15">
        <v>6.956041418733107</v>
      </c>
    </row>
    <row r="51">
      <c r="A51" s="9" t="s">
        <v>25</v>
      </c>
      <c r="B51" s="9" t="s">
        <v>38</v>
      </c>
      <c r="C51" s="9" t="s">
        <v>40</v>
      </c>
      <c r="D51" s="9" t="s">
        <v>13</v>
      </c>
      <c r="E51" s="9" t="s">
        <v>14</v>
      </c>
      <c r="F51" s="9">
        <v>110.0</v>
      </c>
      <c r="G51" s="9" t="s">
        <v>56</v>
      </c>
      <c r="H51" s="9">
        <v>2022.0</v>
      </c>
      <c r="I51" s="9" t="s">
        <v>52</v>
      </c>
      <c r="J51" s="9">
        <v>19.62251482107902</v>
      </c>
      <c r="K51" s="9">
        <v>13.432076525702069</v>
      </c>
      <c r="L51" s="15">
        <v>10.371458980543641</v>
      </c>
    </row>
    <row r="52">
      <c r="A52" s="9" t="s">
        <v>25</v>
      </c>
      <c r="B52" s="9" t="s">
        <v>38</v>
      </c>
      <c r="C52" s="9" t="s">
        <v>40</v>
      </c>
      <c r="D52" s="9" t="s">
        <v>13</v>
      </c>
      <c r="E52" s="9" t="s">
        <v>14</v>
      </c>
      <c r="F52" s="9">
        <v>110.0</v>
      </c>
      <c r="G52" s="9" t="s">
        <v>56</v>
      </c>
      <c r="H52" s="9">
        <v>2022.0</v>
      </c>
      <c r="I52" s="9" t="s">
        <v>53</v>
      </c>
      <c r="J52" s="9">
        <v>18.7706328058496</v>
      </c>
      <c r="K52" s="9">
        <v>13.814384380293859</v>
      </c>
      <c r="L52" s="15">
        <v>10.666654606048846</v>
      </c>
    </row>
    <row r="53">
      <c r="A53" s="9" t="s">
        <v>25</v>
      </c>
      <c r="B53" s="9" t="s">
        <v>38</v>
      </c>
      <c r="C53" s="9" t="s">
        <v>40</v>
      </c>
      <c r="D53" s="9" t="s">
        <v>13</v>
      </c>
      <c r="E53" s="9" t="s">
        <v>14</v>
      </c>
      <c r="F53" s="9">
        <v>110.0</v>
      </c>
      <c r="G53" s="9" t="s">
        <v>56</v>
      </c>
      <c r="H53" s="9">
        <v>2022.0</v>
      </c>
      <c r="I53" s="9" t="s">
        <v>54</v>
      </c>
      <c r="J53" s="9">
        <v>16.374878272953847</v>
      </c>
      <c r="K53" s="9">
        <v>11.090400344711973</v>
      </c>
      <c r="L53" s="15">
        <v>8.563354447310612</v>
      </c>
    </row>
    <row r="54">
      <c r="A54" s="9" t="s">
        <v>25</v>
      </c>
      <c r="B54" s="9" t="s">
        <v>38</v>
      </c>
      <c r="C54" s="9" t="s">
        <v>40</v>
      </c>
      <c r="D54" s="9" t="s">
        <v>13</v>
      </c>
      <c r="E54" s="9" t="s">
        <v>14</v>
      </c>
      <c r="F54" s="9">
        <v>110.0</v>
      </c>
      <c r="G54" s="9" t="s">
        <v>56</v>
      </c>
      <c r="H54" s="9">
        <v>2023.0</v>
      </c>
      <c r="I54" s="9" t="s">
        <v>51</v>
      </c>
      <c r="J54" s="9">
        <v>17.198731258891552</v>
      </c>
      <c r="K54" s="9">
        <v>11.654413491890637</v>
      </c>
      <c r="L54" s="15">
        <v>8.998852205922814</v>
      </c>
    </row>
    <row r="55">
      <c r="A55" s="9" t="s">
        <v>25</v>
      </c>
      <c r="B55" s="9" t="s">
        <v>38</v>
      </c>
      <c r="C55" s="9" t="s">
        <v>40</v>
      </c>
      <c r="D55" s="9" t="s">
        <v>13</v>
      </c>
      <c r="E55" s="9" t="s">
        <v>14</v>
      </c>
      <c r="F55" s="9">
        <v>110.0</v>
      </c>
      <c r="G55" s="9" t="s">
        <v>56</v>
      </c>
      <c r="H55" s="9">
        <v>2023.0</v>
      </c>
      <c r="I55" s="9" t="s">
        <v>52</v>
      </c>
      <c r="J55" s="9">
        <v>12.470253233241344</v>
      </c>
      <c r="K55" s="9">
        <v>8.406722180082438</v>
      </c>
      <c r="L55" s="15">
        <v>6.4911761100165535</v>
      </c>
    </row>
    <row r="56">
      <c r="A56" s="9" t="s">
        <v>25</v>
      </c>
      <c r="B56" s="9" t="s">
        <v>38</v>
      </c>
      <c r="C56" s="9" t="s">
        <v>40</v>
      </c>
      <c r="D56" s="9" t="s">
        <v>13</v>
      </c>
      <c r="E56" s="9" t="s">
        <v>14</v>
      </c>
      <c r="F56" s="9">
        <v>110.0</v>
      </c>
      <c r="G56" s="9" t="s">
        <v>56</v>
      </c>
      <c r="H56" s="9">
        <v>2023.0</v>
      </c>
      <c r="I56" s="9" t="s">
        <v>53</v>
      </c>
      <c r="J56" s="9">
        <v>11.938331842439467</v>
      </c>
      <c r="K56" s="9">
        <v>7.588027167756842</v>
      </c>
      <c r="L56" s="15">
        <v>5.859028003827381</v>
      </c>
    </row>
    <row r="57">
      <c r="A57" s="9" t="s">
        <v>25</v>
      </c>
      <c r="B57" s="9" t="s">
        <v>38</v>
      </c>
      <c r="C57" s="9" t="s">
        <v>40</v>
      </c>
      <c r="D57" s="9" t="s">
        <v>13</v>
      </c>
      <c r="E57" s="9" t="s">
        <v>14</v>
      </c>
      <c r="F57" s="9">
        <v>110.0</v>
      </c>
      <c r="G57" s="9" t="s">
        <v>56</v>
      </c>
      <c r="H57" s="9">
        <v>2023.0</v>
      </c>
      <c r="I57" s="9" t="s">
        <v>54</v>
      </c>
      <c r="J57" s="9">
        <v>9.582184297266844</v>
      </c>
      <c r="K57" s="9">
        <v>6.9720555695863125</v>
      </c>
      <c r="L57" s="15">
        <v>5.3834109872491025</v>
      </c>
    </row>
    <row r="58">
      <c r="A58" s="9" t="s">
        <v>26</v>
      </c>
      <c r="B58" s="9" t="s">
        <v>38</v>
      </c>
      <c r="C58" s="9" t="s">
        <v>40</v>
      </c>
      <c r="D58" s="9" t="s">
        <v>13</v>
      </c>
      <c r="E58" s="9" t="s">
        <v>14</v>
      </c>
      <c r="F58" s="9">
        <v>110.0</v>
      </c>
      <c r="G58" s="9" t="s">
        <v>56</v>
      </c>
      <c r="H58" s="9">
        <v>2022.0</v>
      </c>
      <c r="I58" s="9" t="s">
        <v>51</v>
      </c>
      <c r="J58" s="9">
        <v>57.68757322343078</v>
      </c>
      <c r="K58" s="9">
        <v>39.47072245669737</v>
      </c>
      <c r="L58" s="15">
        <v>30.47696892649013</v>
      </c>
    </row>
    <row r="59">
      <c r="A59" s="9" t="s">
        <v>26</v>
      </c>
      <c r="B59" s="9" t="s">
        <v>38</v>
      </c>
      <c r="C59" s="9" t="s">
        <v>40</v>
      </c>
      <c r="D59" s="9" t="s">
        <v>13</v>
      </c>
      <c r="E59" s="9" t="s">
        <v>14</v>
      </c>
      <c r="F59" s="9">
        <v>110.0</v>
      </c>
      <c r="G59" s="9" t="s">
        <v>56</v>
      </c>
      <c r="H59" s="9">
        <v>2022.0</v>
      </c>
      <c r="I59" s="9" t="s">
        <v>52</v>
      </c>
      <c r="J59" s="9">
        <v>55.28976835972381</v>
      </c>
      <c r="K59" s="9">
        <v>33.2034138346297</v>
      </c>
      <c r="L59" s="15">
        <v>25.637722055925952</v>
      </c>
    </row>
    <row r="60">
      <c r="A60" s="9" t="s">
        <v>26</v>
      </c>
      <c r="B60" s="9" t="s">
        <v>38</v>
      </c>
      <c r="C60" s="9" t="s">
        <v>40</v>
      </c>
      <c r="D60" s="9" t="s">
        <v>13</v>
      </c>
      <c r="E60" s="9" t="s">
        <v>14</v>
      </c>
      <c r="F60" s="9">
        <v>110.0</v>
      </c>
      <c r="G60" s="9" t="s">
        <v>56</v>
      </c>
      <c r="H60" s="9">
        <v>2022.0</v>
      </c>
      <c r="I60" s="9" t="s">
        <v>53</v>
      </c>
      <c r="J60" s="9">
        <v>51.46007458873964</v>
      </c>
      <c r="K60" s="9">
        <v>37.68820835103248</v>
      </c>
      <c r="L60" s="15">
        <v>29.10061643968225</v>
      </c>
    </row>
    <row r="61">
      <c r="A61" s="9" t="s">
        <v>26</v>
      </c>
      <c r="B61" s="9" t="s">
        <v>38</v>
      </c>
      <c r="C61" s="9" t="s">
        <v>40</v>
      </c>
      <c r="D61" s="9" t="s">
        <v>13</v>
      </c>
      <c r="E61" s="9" t="s">
        <v>14</v>
      </c>
      <c r="F61" s="9">
        <v>110.0</v>
      </c>
      <c r="G61" s="9" t="s">
        <v>56</v>
      </c>
      <c r="H61" s="9">
        <v>2022.0</v>
      </c>
      <c r="I61" s="9" t="s">
        <v>54</v>
      </c>
      <c r="J61" s="9">
        <v>46.017952820116506</v>
      </c>
      <c r="K61" s="9">
        <v>32.16488833756265</v>
      </c>
      <c r="L61" s="15">
        <v>24.835833787014632</v>
      </c>
    </row>
    <row r="62">
      <c r="A62" s="9" t="s">
        <v>26</v>
      </c>
      <c r="B62" s="9" t="s">
        <v>38</v>
      </c>
      <c r="C62" s="9" t="s">
        <v>40</v>
      </c>
      <c r="D62" s="9" t="s">
        <v>13</v>
      </c>
      <c r="E62" s="9" t="s">
        <v>14</v>
      </c>
      <c r="F62" s="9">
        <v>110.0</v>
      </c>
      <c r="G62" s="9" t="s">
        <v>56</v>
      </c>
      <c r="H62" s="9">
        <v>2023.0</v>
      </c>
      <c r="I62" s="9" t="s">
        <v>51</v>
      </c>
      <c r="J62" s="9">
        <v>44.961129229893864</v>
      </c>
      <c r="K62" s="9">
        <v>27.838898851753697</v>
      </c>
      <c r="L62" s="15">
        <v>21.495559301794223</v>
      </c>
    </row>
    <row r="63">
      <c r="A63" s="9" t="s">
        <v>26</v>
      </c>
      <c r="B63" s="9" t="s">
        <v>38</v>
      </c>
      <c r="C63" s="9" t="s">
        <v>40</v>
      </c>
      <c r="D63" s="9" t="s">
        <v>13</v>
      </c>
      <c r="E63" s="9" t="s">
        <v>14</v>
      </c>
      <c r="F63" s="9">
        <v>110.0</v>
      </c>
      <c r="G63" s="9" t="s">
        <v>56</v>
      </c>
      <c r="H63" s="9">
        <v>2023.0</v>
      </c>
      <c r="I63" s="9" t="s">
        <v>52</v>
      </c>
      <c r="J63" s="9">
        <v>42.17278799800832</v>
      </c>
      <c r="K63" s="9">
        <v>29.101376620417206</v>
      </c>
      <c r="L63" s="15">
        <v>22.470370334659258</v>
      </c>
    </row>
    <row r="64">
      <c r="A64" s="9" t="s">
        <v>26</v>
      </c>
      <c r="B64" s="9" t="s">
        <v>38</v>
      </c>
      <c r="C64" s="9" t="s">
        <v>40</v>
      </c>
      <c r="D64" s="9" t="s">
        <v>13</v>
      </c>
      <c r="E64" s="9" t="s">
        <v>14</v>
      </c>
      <c r="F64" s="9">
        <v>110.0</v>
      </c>
      <c r="G64" s="9" t="s">
        <v>56</v>
      </c>
      <c r="H64" s="9">
        <v>2023.0</v>
      </c>
      <c r="I64" s="9" t="s">
        <v>53</v>
      </c>
      <c r="J64" s="9">
        <v>38.533407594411116</v>
      </c>
      <c r="K64" s="9">
        <v>25.43629595565172</v>
      </c>
      <c r="L64" s="15">
        <v>19.640410744847284</v>
      </c>
    </row>
    <row r="65">
      <c r="A65" s="9" t="s">
        <v>26</v>
      </c>
      <c r="B65" s="9" t="s">
        <v>38</v>
      </c>
      <c r="C65" s="9" t="s">
        <v>40</v>
      </c>
      <c r="D65" s="9" t="s">
        <v>13</v>
      </c>
      <c r="E65" s="9" t="s">
        <v>14</v>
      </c>
      <c r="F65" s="9">
        <v>110.0</v>
      </c>
      <c r="G65" s="9" t="s">
        <v>56</v>
      </c>
      <c r="H65" s="9">
        <v>2023.0</v>
      </c>
      <c r="I65" s="9" t="s">
        <v>54</v>
      </c>
      <c r="J65" s="9">
        <v>34.97948168882406</v>
      </c>
      <c r="K65" s="9">
        <v>25.725304106068638</v>
      </c>
      <c r="L65" s="15">
        <v>19.86356582971866</v>
      </c>
    </row>
    <row r="66">
      <c r="A66" s="9" t="s">
        <v>10</v>
      </c>
      <c r="B66" s="9" t="s">
        <v>38</v>
      </c>
      <c r="C66" s="9" t="s">
        <v>39</v>
      </c>
      <c r="D66" s="9" t="s">
        <v>13</v>
      </c>
      <c r="E66" s="9" t="s">
        <v>14</v>
      </c>
      <c r="F66" s="9">
        <v>170.0</v>
      </c>
      <c r="G66" s="9" t="s">
        <v>57</v>
      </c>
      <c r="H66" s="9">
        <v>2022.0</v>
      </c>
      <c r="I66" s="9" t="s">
        <v>51</v>
      </c>
      <c r="J66" s="9">
        <v>24.755348968786024</v>
      </c>
      <c r="K66" s="9">
        <v>18.528919796517016</v>
      </c>
      <c r="L66" s="15">
        <v>11.86382366277181</v>
      </c>
    </row>
    <row r="67">
      <c r="A67" s="9" t="s">
        <v>10</v>
      </c>
      <c r="B67" s="9" t="s">
        <v>38</v>
      </c>
      <c r="C67" s="9" t="s">
        <v>39</v>
      </c>
      <c r="D67" s="9" t="s">
        <v>13</v>
      </c>
      <c r="E67" s="9" t="s">
        <v>14</v>
      </c>
      <c r="F67" s="9">
        <v>170.0</v>
      </c>
      <c r="G67" s="9" t="s">
        <v>57</v>
      </c>
      <c r="H67" s="9">
        <v>2022.0</v>
      </c>
      <c r="I67" s="9" t="s">
        <v>52</v>
      </c>
      <c r="J67" s="9">
        <v>21.742090367435168</v>
      </c>
      <c r="K67" s="9">
        <v>15.296769345859161</v>
      </c>
      <c r="L67" s="15">
        <v>9.794320236815958</v>
      </c>
    </row>
    <row r="68">
      <c r="A68" s="9" t="s">
        <v>10</v>
      </c>
      <c r="B68" s="9" t="s">
        <v>38</v>
      </c>
      <c r="C68" s="9" t="s">
        <v>39</v>
      </c>
      <c r="D68" s="9" t="s">
        <v>13</v>
      </c>
      <c r="E68" s="9" t="s">
        <v>14</v>
      </c>
      <c r="F68" s="9">
        <v>170.0</v>
      </c>
      <c r="G68" s="9" t="s">
        <v>57</v>
      </c>
      <c r="H68" s="9">
        <v>2022.0</v>
      </c>
      <c r="I68" s="9" t="s">
        <v>53</v>
      </c>
      <c r="J68" s="9">
        <v>24.20878995321081</v>
      </c>
      <c r="K68" s="9">
        <v>15.197884114854244</v>
      </c>
      <c r="L68" s="15">
        <v>9.73100532389182</v>
      </c>
    </row>
    <row r="69">
      <c r="A69" s="9" t="s">
        <v>10</v>
      </c>
      <c r="B69" s="9" t="s">
        <v>38</v>
      </c>
      <c r="C69" s="9" t="s">
        <v>39</v>
      </c>
      <c r="D69" s="9" t="s">
        <v>13</v>
      </c>
      <c r="E69" s="9" t="s">
        <v>14</v>
      </c>
      <c r="F69" s="9">
        <v>170.0</v>
      </c>
      <c r="G69" s="9" t="s">
        <v>57</v>
      </c>
      <c r="H69" s="9">
        <v>2022.0</v>
      </c>
      <c r="I69" s="9" t="s">
        <v>54</v>
      </c>
      <c r="J69" s="9">
        <v>26.150978993231888</v>
      </c>
      <c r="K69" s="9">
        <v>16.115244173402726</v>
      </c>
      <c r="L69" s="15">
        <v>10.318378904727062</v>
      </c>
    </row>
    <row r="70">
      <c r="A70" s="9" t="s">
        <v>10</v>
      </c>
      <c r="B70" s="9" t="s">
        <v>38</v>
      </c>
      <c r="C70" s="9" t="s">
        <v>39</v>
      </c>
      <c r="D70" s="9" t="s">
        <v>13</v>
      </c>
      <c r="E70" s="9" t="s">
        <v>14</v>
      </c>
      <c r="F70" s="9">
        <v>170.0</v>
      </c>
      <c r="G70" s="9" t="s">
        <v>57</v>
      </c>
      <c r="H70" s="9">
        <v>2023.0</v>
      </c>
      <c r="I70" s="9" t="s">
        <v>51</v>
      </c>
      <c r="J70" s="9">
        <v>24.683059562295</v>
      </c>
      <c r="K70" s="9">
        <v>15.620336041101906</v>
      </c>
      <c r="L70" s="15">
        <v>10.001495736395125</v>
      </c>
    </row>
    <row r="71">
      <c r="A71" s="9" t="s">
        <v>10</v>
      </c>
      <c r="B71" s="9" t="s">
        <v>38</v>
      </c>
      <c r="C71" s="9" t="s">
        <v>39</v>
      </c>
      <c r="D71" s="9" t="s">
        <v>13</v>
      </c>
      <c r="E71" s="9" t="s">
        <v>14</v>
      </c>
      <c r="F71" s="9">
        <v>170.0</v>
      </c>
      <c r="G71" s="9" t="s">
        <v>57</v>
      </c>
      <c r="H71" s="9">
        <v>2023.0</v>
      </c>
      <c r="I71" s="9" t="s">
        <v>52</v>
      </c>
      <c r="J71" s="9">
        <v>21.31633676215796</v>
      </c>
      <c r="K71" s="9">
        <v>15.43431611176257</v>
      </c>
      <c r="L71" s="15">
        <v>9.882389622078737</v>
      </c>
    </row>
    <row r="72">
      <c r="A72" s="9" t="s">
        <v>10</v>
      </c>
      <c r="B72" s="9" t="s">
        <v>38</v>
      </c>
      <c r="C72" s="9" t="s">
        <v>39</v>
      </c>
      <c r="D72" s="9" t="s">
        <v>13</v>
      </c>
      <c r="E72" s="9" t="s">
        <v>14</v>
      </c>
      <c r="F72" s="9">
        <v>170.0</v>
      </c>
      <c r="G72" s="9" t="s">
        <v>57</v>
      </c>
      <c r="H72" s="9">
        <v>2023.0</v>
      </c>
      <c r="I72" s="9" t="s">
        <v>53</v>
      </c>
      <c r="J72" s="9">
        <v>23.31805721385814</v>
      </c>
      <c r="K72" s="9">
        <v>16.318175597590642</v>
      </c>
      <c r="L72" s="15">
        <v>10.44831322678361</v>
      </c>
    </row>
    <row r="73">
      <c r="A73" s="9" t="s">
        <v>10</v>
      </c>
      <c r="B73" s="9" t="s">
        <v>38</v>
      </c>
      <c r="C73" s="9" t="s">
        <v>39</v>
      </c>
      <c r="D73" s="9" t="s">
        <v>13</v>
      </c>
      <c r="E73" s="9" t="s">
        <v>14</v>
      </c>
      <c r="F73" s="9">
        <v>170.0</v>
      </c>
      <c r="G73" s="9" t="s">
        <v>57</v>
      </c>
      <c r="H73" s="9">
        <v>2023.0</v>
      </c>
      <c r="I73" s="9" t="s">
        <v>54</v>
      </c>
      <c r="J73" s="9">
        <v>22.004580308868526</v>
      </c>
      <c r="K73" s="9">
        <v>13.857009664457147</v>
      </c>
      <c r="L73" s="15">
        <v>8.87246104780199</v>
      </c>
    </row>
    <row r="74">
      <c r="A74" s="9" t="s">
        <v>24</v>
      </c>
      <c r="B74" s="9" t="s">
        <v>38</v>
      </c>
      <c r="C74" s="9" t="s">
        <v>39</v>
      </c>
      <c r="D74" s="9" t="s">
        <v>13</v>
      </c>
      <c r="E74" s="9" t="s">
        <v>14</v>
      </c>
      <c r="F74" s="9">
        <v>170.0</v>
      </c>
      <c r="G74" s="9" t="s">
        <v>57</v>
      </c>
      <c r="H74" s="9">
        <v>2022.0</v>
      </c>
      <c r="I74" s="9" t="s">
        <v>51</v>
      </c>
      <c r="J74" s="9">
        <v>42.84924966558003</v>
      </c>
      <c r="K74" s="9">
        <v>28.156108714616032</v>
      </c>
      <c r="L74" s="15">
        <v>18.02798611513384</v>
      </c>
    </row>
    <row r="75">
      <c r="A75" s="9" t="s">
        <v>24</v>
      </c>
      <c r="B75" s="9" t="s">
        <v>38</v>
      </c>
      <c r="C75" s="9" t="s">
        <v>39</v>
      </c>
      <c r="D75" s="9" t="s">
        <v>13</v>
      </c>
      <c r="E75" s="9" t="s">
        <v>14</v>
      </c>
      <c r="F75" s="9">
        <v>170.0</v>
      </c>
      <c r="G75" s="9" t="s">
        <v>57</v>
      </c>
      <c r="H75" s="9">
        <v>2022.0</v>
      </c>
      <c r="I75" s="9" t="s">
        <v>52</v>
      </c>
      <c r="J75" s="9">
        <v>38.27789831879527</v>
      </c>
      <c r="K75" s="9">
        <v>26.322666593012354</v>
      </c>
      <c r="L75" s="15">
        <v>16.85405723717016</v>
      </c>
    </row>
    <row r="76">
      <c r="A76" s="9" t="s">
        <v>24</v>
      </c>
      <c r="B76" s="9" t="s">
        <v>38</v>
      </c>
      <c r="C76" s="9" t="s">
        <v>39</v>
      </c>
      <c r="D76" s="9" t="s">
        <v>13</v>
      </c>
      <c r="E76" s="9" t="s">
        <v>14</v>
      </c>
      <c r="F76" s="9">
        <v>170.0</v>
      </c>
      <c r="G76" s="9" t="s">
        <v>57</v>
      </c>
      <c r="H76" s="9">
        <v>2022.0</v>
      </c>
      <c r="I76" s="9" t="s">
        <v>53</v>
      </c>
      <c r="J76" s="9">
        <v>42.27403198008802</v>
      </c>
      <c r="K76" s="9">
        <v>26.88529996062268</v>
      </c>
      <c r="L76" s="15">
        <v>17.21430398298289</v>
      </c>
    </row>
    <row r="77">
      <c r="A77" s="9" t="s">
        <v>24</v>
      </c>
      <c r="B77" s="9" t="s">
        <v>38</v>
      </c>
      <c r="C77" s="9" t="s">
        <v>39</v>
      </c>
      <c r="D77" s="9" t="s">
        <v>13</v>
      </c>
      <c r="E77" s="9" t="s">
        <v>14</v>
      </c>
      <c r="F77" s="9">
        <v>170.0</v>
      </c>
      <c r="G77" s="9" t="s">
        <v>57</v>
      </c>
      <c r="H77" s="9">
        <v>2022.0</v>
      </c>
      <c r="I77" s="9" t="s">
        <v>54</v>
      </c>
      <c r="J77" s="9">
        <v>42.108975869252994</v>
      </c>
      <c r="K77" s="9">
        <v>29.53110309196811</v>
      </c>
      <c r="L77" s="15">
        <v>18.908376931725</v>
      </c>
    </row>
    <row r="78">
      <c r="A78" s="9" t="s">
        <v>24</v>
      </c>
      <c r="B78" s="9" t="s">
        <v>38</v>
      </c>
      <c r="C78" s="9" t="s">
        <v>39</v>
      </c>
      <c r="D78" s="9" t="s">
        <v>13</v>
      </c>
      <c r="E78" s="9" t="s">
        <v>14</v>
      </c>
      <c r="F78" s="9">
        <v>170.0</v>
      </c>
      <c r="G78" s="9" t="s">
        <v>57</v>
      </c>
      <c r="H78" s="9">
        <v>2023.0</v>
      </c>
      <c r="I78" s="9" t="s">
        <v>51</v>
      </c>
      <c r="J78" s="9">
        <v>44.996203498261615</v>
      </c>
      <c r="K78" s="9">
        <v>32.659218277661665</v>
      </c>
      <c r="L78" s="15">
        <v>20.91126794574316</v>
      </c>
    </row>
    <row r="79">
      <c r="A79" s="9" t="s">
        <v>24</v>
      </c>
      <c r="B79" s="9" t="s">
        <v>38</v>
      </c>
      <c r="C79" s="9" t="s">
        <v>39</v>
      </c>
      <c r="D79" s="9" t="s">
        <v>13</v>
      </c>
      <c r="E79" s="9" t="s">
        <v>14</v>
      </c>
      <c r="F79" s="9">
        <v>170.0</v>
      </c>
      <c r="G79" s="9" t="s">
        <v>57</v>
      </c>
      <c r="H79" s="9">
        <v>2023.0</v>
      </c>
      <c r="I79" s="9" t="s">
        <v>52</v>
      </c>
      <c r="J79" s="9">
        <v>41.98181283701869</v>
      </c>
      <c r="K79" s="9">
        <v>29.735058453865534</v>
      </c>
      <c r="L79" s="15">
        <v>19.038966867630638</v>
      </c>
    </row>
    <row r="80">
      <c r="A80" s="9" t="s">
        <v>24</v>
      </c>
      <c r="B80" s="9" t="s">
        <v>38</v>
      </c>
      <c r="C80" s="9" t="s">
        <v>39</v>
      </c>
      <c r="D80" s="9" t="s">
        <v>13</v>
      </c>
      <c r="E80" s="9" t="s">
        <v>14</v>
      </c>
      <c r="F80" s="9">
        <v>170.0</v>
      </c>
      <c r="G80" s="9" t="s">
        <v>57</v>
      </c>
      <c r="H80" s="9">
        <v>2023.0</v>
      </c>
      <c r="I80" s="9" t="s">
        <v>53</v>
      </c>
      <c r="J80" s="9">
        <v>39.541174947116346</v>
      </c>
      <c r="K80" s="9">
        <v>23.961322756681856</v>
      </c>
      <c r="L80" s="15">
        <v>15.342119833962002</v>
      </c>
    </row>
    <row r="81">
      <c r="A81" s="9" t="s">
        <v>24</v>
      </c>
      <c r="B81" s="9" t="s">
        <v>38</v>
      </c>
      <c r="C81" s="9" t="s">
        <v>39</v>
      </c>
      <c r="D81" s="9" t="s">
        <v>13</v>
      </c>
      <c r="E81" s="9" t="s">
        <v>14</v>
      </c>
      <c r="F81" s="9">
        <v>170.0</v>
      </c>
      <c r="G81" s="9" t="s">
        <v>57</v>
      </c>
      <c r="H81" s="9">
        <v>2023.0</v>
      </c>
      <c r="I81" s="9" t="s">
        <v>54</v>
      </c>
      <c r="J81" s="9">
        <v>35.70189781578658</v>
      </c>
      <c r="K81" s="9">
        <v>23.84267558385543</v>
      </c>
      <c r="L81" s="15">
        <v>15.266151609588572</v>
      </c>
    </row>
    <row r="82">
      <c r="A82" s="9" t="s">
        <v>25</v>
      </c>
      <c r="B82" s="9" t="s">
        <v>38</v>
      </c>
      <c r="C82" s="9" t="s">
        <v>39</v>
      </c>
      <c r="D82" s="9" t="s">
        <v>13</v>
      </c>
      <c r="E82" s="9" t="s">
        <v>14</v>
      </c>
      <c r="F82" s="9">
        <v>170.0</v>
      </c>
      <c r="G82" s="9" t="s">
        <v>57</v>
      </c>
      <c r="H82" s="9">
        <v>2022.0</v>
      </c>
      <c r="I82" s="9" t="s">
        <v>51</v>
      </c>
      <c r="J82" s="9">
        <v>55.51479690341817</v>
      </c>
      <c r="K82" s="9">
        <v>39.23016477309536</v>
      </c>
      <c r="L82" s="15">
        <v>25.118558569019953</v>
      </c>
    </row>
    <row r="83">
      <c r="A83" s="9" t="s">
        <v>25</v>
      </c>
      <c r="B83" s="9" t="s">
        <v>38</v>
      </c>
      <c r="C83" s="9" t="s">
        <v>39</v>
      </c>
      <c r="D83" s="9" t="s">
        <v>13</v>
      </c>
      <c r="E83" s="9" t="s">
        <v>14</v>
      </c>
      <c r="F83" s="9">
        <v>170.0</v>
      </c>
      <c r="G83" s="9" t="s">
        <v>57</v>
      </c>
      <c r="H83" s="9">
        <v>2022.0</v>
      </c>
      <c r="I83" s="9" t="s">
        <v>52</v>
      </c>
      <c r="J83" s="9">
        <v>55.60939162226772</v>
      </c>
      <c r="K83" s="9">
        <v>35.46642433039257</v>
      </c>
      <c r="L83" s="15">
        <v>22.70868506235918</v>
      </c>
    </row>
    <row r="84">
      <c r="A84" s="9" t="s">
        <v>25</v>
      </c>
      <c r="B84" s="9" t="s">
        <v>38</v>
      </c>
      <c r="C84" s="9" t="s">
        <v>39</v>
      </c>
      <c r="D84" s="9" t="s">
        <v>13</v>
      </c>
      <c r="E84" s="9" t="s">
        <v>14</v>
      </c>
      <c r="F84" s="9">
        <v>170.0</v>
      </c>
      <c r="G84" s="9" t="s">
        <v>57</v>
      </c>
      <c r="H84" s="9">
        <v>2022.0</v>
      </c>
      <c r="I84" s="9" t="s">
        <v>53</v>
      </c>
      <c r="J84" s="9">
        <v>62.789211967578275</v>
      </c>
      <c r="K84" s="9">
        <v>45.86876267286881</v>
      </c>
      <c r="L84" s="15">
        <v>29.369165496778596</v>
      </c>
    </row>
    <row r="85">
      <c r="A85" s="9" t="s">
        <v>25</v>
      </c>
      <c r="B85" s="9" t="s">
        <v>38</v>
      </c>
      <c r="C85" s="9" t="s">
        <v>39</v>
      </c>
      <c r="D85" s="9" t="s">
        <v>13</v>
      </c>
      <c r="E85" s="9" t="s">
        <v>14</v>
      </c>
      <c r="F85" s="9">
        <v>170.0</v>
      </c>
      <c r="G85" s="9" t="s">
        <v>57</v>
      </c>
      <c r="H85" s="9">
        <v>2022.0</v>
      </c>
      <c r="I85" s="9" t="s">
        <v>54</v>
      </c>
      <c r="J85" s="9">
        <v>53.032454963578665</v>
      </c>
      <c r="K85" s="9">
        <v>34.97764403181801</v>
      </c>
      <c r="L85" s="15">
        <v>22.395725465372013</v>
      </c>
    </row>
    <row r="86">
      <c r="A86" s="9" t="s">
        <v>25</v>
      </c>
      <c r="B86" s="9" t="s">
        <v>38</v>
      </c>
      <c r="C86" s="9" t="s">
        <v>39</v>
      </c>
      <c r="D86" s="9" t="s">
        <v>13</v>
      </c>
      <c r="E86" s="9" t="s">
        <v>14</v>
      </c>
      <c r="F86" s="9">
        <v>170.0</v>
      </c>
      <c r="G86" s="9" t="s">
        <v>57</v>
      </c>
      <c r="H86" s="9">
        <v>2023.0</v>
      </c>
      <c r="I86" s="9" t="s">
        <v>51</v>
      </c>
      <c r="J86" s="9">
        <v>50.26434907438719</v>
      </c>
      <c r="K86" s="9">
        <v>32.241100814791814</v>
      </c>
      <c r="L86" s="15">
        <v>20.643552833136006</v>
      </c>
    </row>
    <row r="87">
      <c r="A87" s="9" t="s">
        <v>25</v>
      </c>
      <c r="B87" s="9" t="s">
        <v>38</v>
      </c>
      <c r="C87" s="9" t="s">
        <v>39</v>
      </c>
      <c r="D87" s="9" t="s">
        <v>13</v>
      </c>
      <c r="E87" s="9" t="s">
        <v>14</v>
      </c>
      <c r="F87" s="9">
        <v>170.0</v>
      </c>
      <c r="G87" s="9" t="s">
        <v>57</v>
      </c>
      <c r="H87" s="9">
        <v>2023.0</v>
      </c>
      <c r="I87" s="9" t="s">
        <v>52</v>
      </c>
      <c r="J87" s="9">
        <v>48.925074679374426</v>
      </c>
      <c r="K87" s="9">
        <v>36.22885467802682</v>
      </c>
      <c r="L87" s="15">
        <v>23.196859186852876</v>
      </c>
    </row>
    <row r="88">
      <c r="A88" s="9" t="s">
        <v>25</v>
      </c>
      <c r="B88" s="9" t="s">
        <v>38</v>
      </c>
      <c r="C88" s="9" t="s">
        <v>39</v>
      </c>
      <c r="D88" s="9" t="s">
        <v>13</v>
      </c>
      <c r="E88" s="9" t="s">
        <v>14</v>
      </c>
      <c r="F88" s="9">
        <v>170.0</v>
      </c>
      <c r="G88" s="9" t="s">
        <v>57</v>
      </c>
      <c r="H88" s="9">
        <v>2023.0</v>
      </c>
      <c r="I88" s="9" t="s">
        <v>53</v>
      </c>
      <c r="J88" s="9">
        <v>48.14907132420701</v>
      </c>
      <c r="K88" s="9">
        <v>34.89715890374227</v>
      </c>
      <c r="L88" s="15">
        <v>22.344191896364624</v>
      </c>
    </row>
    <row r="89">
      <c r="A89" s="9" t="s">
        <v>25</v>
      </c>
      <c r="B89" s="9" t="s">
        <v>38</v>
      </c>
      <c r="C89" s="9" t="s">
        <v>39</v>
      </c>
      <c r="D89" s="9" t="s">
        <v>13</v>
      </c>
      <c r="E89" s="9" t="s">
        <v>14</v>
      </c>
      <c r="F89" s="9">
        <v>170.0</v>
      </c>
      <c r="G89" s="9" t="s">
        <v>57</v>
      </c>
      <c r="H89" s="9">
        <v>2023.0</v>
      </c>
      <c r="I89" s="9" t="s">
        <v>54</v>
      </c>
      <c r="J89" s="9">
        <v>48.768668431918826</v>
      </c>
      <c r="K89" s="9">
        <v>30.502540100480136</v>
      </c>
      <c r="L89" s="15">
        <v>19.530375272429335</v>
      </c>
    </row>
    <row r="90">
      <c r="A90" s="9" t="s">
        <v>26</v>
      </c>
      <c r="B90" s="9" t="s">
        <v>38</v>
      </c>
      <c r="C90" s="9" t="s">
        <v>39</v>
      </c>
      <c r="D90" s="9" t="s">
        <v>13</v>
      </c>
      <c r="E90" s="9" t="s">
        <v>14</v>
      </c>
      <c r="F90" s="9">
        <v>170.0</v>
      </c>
      <c r="G90" s="9" t="s">
        <v>57</v>
      </c>
      <c r="H90" s="9">
        <v>2022.0</v>
      </c>
      <c r="I90" s="9" t="s">
        <v>51</v>
      </c>
      <c r="J90" s="9">
        <v>44.57436219260806</v>
      </c>
      <c r="K90" s="9">
        <v>31.058431842587165</v>
      </c>
      <c r="L90" s="15">
        <v>19.88630544409474</v>
      </c>
    </row>
    <row r="91">
      <c r="A91" s="9" t="s">
        <v>26</v>
      </c>
      <c r="B91" s="9" t="s">
        <v>38</v>
      </c>
      <c r="C91" s="9" t="s">
        <v>39</v>
      </c>
      <c r="D91" s="9" t="s">
        <v>13</v>
      </c>
      <c r="E91" s="9" t="s">
        <v>14</v>
      </c>
      <c r="F91" s="9">
        <v>170.0</v>
      </c>
      <c r="G91" s="9" t="s">
        <v>57</v>
      </c>
      <c r="H91" s="9">
        <v>2022.0</v>
      </c>
      <c r="I91" s="9" t="s">
        <v>52</v>
      </c>
      <c r="J91" s="9">
        <v>46.42323295773365</v>
      </c>
      <c r="K91" s="9">
        <v>28.257179037009347</v>
      </c>
      <c r="L91" s="15">
        <v>18.092700113336758</v>
      </c>
    </row>
    <row r="92">
      <c r="A92" s="9" t="s">
        <v>26</v>
      </c>
      <c r="B92" s="9" t="s">
        <v>38</v>
      </c>
      <c r="C92" s="9" t="s">
        <v>39</v>
      </c>
      <c r="D92" s="9" t="s">
        <v>13</v>
      </c>
      <c r="E92" s="9" t="s">
        <v>14</v>
      </c>
      <c r="F92" s="9">
        <v>170.0</v>
      </c>
      <c r="G92" s="9" t="s">
        <v>57</v>
      </c>
      <c r="H92" s="9">
        <v>2022.0</v>
      </c>
      <c r="I92" s="9" t="s">
        <v>53</v>
      </c>
      <c r="J92" s="9">
        <v>48.69531668101522</v>
      </c>
      <c r="K92" s="9">
        <v>33.103096024079946</v>
      </c>
      <c r="L92" s="15">
        <v>21.195477029120212</v>
      </c>
    </row>
    <row r="93">
      <c r="A93" s="9" t="s">
        <v>26</v>
      </c>
      <c r="B93" s="9" t="s">
        <v>38</v>
      </c>
      <c r="C93" s="9" t="s">
        <v>39</v>
      </c>
      <c r="D93" s="9" t="s">
        <v>13</v>
      </c>
      <c r="E93" s="9" t="s">
        <v>14</v>
      </c>
      <c r="F93" s="9">
        <v>170.0</v>
      </c>
      <c r="G93" s="9" t="s">
        <v>57</v>
      </c>
      <c r="H93" s="9">
        <v>2022.0</v>
      </c>
      <c r="I93" s="9" t="s">
        <v>54</v>
      </c>
      <c r="J93" s="9">
        <v>44.22736332728754</v>
      </c>
      <c r="K93" s="9">
        <v>31.512789727988327</v>
      </c>
      <c r="L93" s="15">
        <v>20.177224822633068</v>
      </c>
    </row>
    <row r="94">
      <c r="A94" s="9" t="s">
        <v>26</v>
      </c>
      <c r="B94" s="9" t="s">
        <v>38</v>
      </c>
      <c r="C94" s="9" t="s">
        <v>39</v>
      </c>
      <c r="D94" s="9" t="s">
        <v>13</v>
      </c>
      <c r="E94" s="9" t="s">
        <v>14</v>
      </c>
      <c r="F94" s="9">
        <v>170.0</v>
      </c>
      <c r="G94" s="9" t="s">
        <v>57</v>
      </c>
      <c r="H94" s="9">
        <v>2023.0</v>
      </c>
      <c r="I94" s="9" t="s">
        <v>51</v>
      </c>
      <c r="J94" s="9">
        <v>41.01142626180077</v>
      </c>
      <c r="K94" s="9">
        <v>27.01954141792476</v>
      </c>
      <c r="L94" s="15">
        <v>17.300257022617977</v>
      </c>
    </row>
    <row r="95">
      <c r="A95" s="9" t="s">
        <v>26</v>
      </c>
      <c r="B95" s="9" t="s">
        <v>38</v>
      </c>
      <c r="C95" s="9" t="s">
        <v>39</v>
      </c>
      <c r="D95" s="9" t="s">
        <v>13</v>
      </c>
      <c r="E95" s="9" t="s">
        <v>14</v>
      </c>
      <c r="F95" s="9">
        <v>170.0</v>
      </c>
      <c r="G95" s="9" t="s">
        <v>57</v>
      </c>
      <c r="H95" s="9">
        <v>2023.0</v>
      </c>
      <c r="I95" s="9" t="s">
        <v>52</v>
      </c>
      <c r="J95" s="9">
        <v>35.981946224004886</v>
      </c>
      <c r="K95" s="9">
        <v>21.615452295347943</v>
      </c>
      <c r="L95" s="15">
        <v>13.840089829266194</v>
      </c>
    </row>
    <row r="96">
      <c r="A96" s="9" t="s">
        <v>26</v>
      </c>
      <c r="B96" s="9" t="s">
        <v>38</v>
      </c>
      <c r="C96" s="9" t="s">
        <v>39</v>
      </c>
      <c r="D96" s="9" t="s">
        <v>13</v>
      </c>
      <c r="E96" s="9" t="s">
        <v>14</v>
      </c>
      <c r="F96" s="9">
        <v>170.0</v>
      </c>
      <c r="G96" s="9" t="s">
        <v>57</v>
      </c>
      <c r="H96" s="9">
        <v>2023.0</v>
      </c>
      <c r="I96" s="9" t="s">
        <v>53</v>
      </c>
      <c r="J96" s="9">
        <v>36.124176257027784</v>
      </c>
      <c r="K96" s="9">
        <v>23.629894862922914</v>
      </c>
      <c r="L96" s="15">
        <v>15.129910912359403</v>
      </c>
    </row>
    <row r="97">
      <c r="A97" s="9" t="s">
        <v>26</v>
      </c>
      <c r="B97" s="9" t="s">
        <v>38</v>
      </c>
      <c r="C97" s="9" t="s">
        <v>39</v>
      </c>
      <c r="D97" s="9" t="s">
        <v>13</v>
      </c>
      <c r="E97" s="9" t="s">
        <v>14</v>
      </c>
      <c r="F97" s="9">
        <v>170.0</v>
      </c>
      <c r="G97" s="9" t="s">
        <v>57</v>
      </c>
      <c r="H97" s="9">
        <v>2023.0</v>
      </c>
      <c r="I97" s="9" t="s">
        <v>54</v>
      </c>
      <c r="J97" s="9">
        <v>40.21054288094002</v>
      </c>
      <c r="K97" s="9">
        <v>28.334586575657802</v>
      </c>
      <c r="L97" s="15">
        <v>18.142263142308746</v>
      </c>
    </row>
    <row r="98">
      <c r="A98" s="9" t="s">
        <v>10</v>
      </c>
      <c r="B98" s="9" t="s">
        <v>38</v>
      </c>
      <c r="C98" s="9" t="s">
        <v>40</v>
      </c>
      <c r="D98" s="9" t="s">
        <v>31</v>
      </c>
      <c r="E98" s="9" t="s">
        <v>14</v>
      </c>
      <c r="F98" s="9">
        <v>180.0</v>
      </c>
      <c r="G98" s="9" t="s">
        <v>58</v>
      </c>
      <c r="H98" s="9">
        <v>2022.0</v>
      </c>
      <c r="I98" s="9" t="s">
        <v>51</v>
      </c>
      <c r="J98" s="9">
        <v>16.776861119717623</v>
      </c>
      <c r="K98" s="9">
        <v>11.405977483168408</v>
      </c>
      <c r="L98" s="15">
        <v>5.204644071717276</v>
      </c>
    </row>
    <row r="99">
      <c r="A99" s="9" t="s">
        <v>10</v>
      </c>
      <c r="B99" s="9" t="s">
        <v>38</v>
      </c>
      <c r="C99" s="9" t="s">
        <v>40</v>
      </c>
      <c r="D99" s="9" t="s">
        <v>31</v>
      </c>
      <c r="E99" s="9" t="s">
        <v>14</v>
      </c>
      <c r="F99" s="9">
        <v>180.0</v>
      </c>
      <c r="G99" s="9" t="s">
        <v>58</v>
      </c>
      <c r="H99" s="9">
        <v>2022.0</v>
      </c>
      <c r="I99" s="9" t="s">
        <v>52</v>
      </c>
      <c r="J99" s="9">
        <v>19.781912496310767</v>
      </c>
      <c r="K99" s="9">
        <v>12.51875586315713</v>
      </c>
      <c r="L99" s="15">
        <v>5.712414265643226</v>
      </c>
    </row>
    <row r="100">
      <c r="A100" s="9" t="s">
        <v>10</v>
      </c>
      <c r="B100" s="9" t="s">
        <v>38</v>
      </c>
      <c r="C100" s="9" t="s">
        <v>40</v>
      </c>
      <c r="D100" s="9" t="s">
        <v>31</v>
      </c>
      <c r="E100" s="9" t="s">
        <v>14</v>
      </c>
      <c r="F100" s="9">
        <v>180.0</v>
      </c>
      <c r="G100" s="9" t="s">
        <v>58</v>
      </c>
      <c r="H100" s="9">
        <v>2022.0</v>
      </c>
      <c r="I100" s="9" t="s">
        <v>53</v>
      </c>
      <c r="J100" s="9">
        <v>17.87067466964527</v>
      </c>
      <c r="K100" s="9">
        <v>11.572652538410683</v>
      </c>
      <c r="L100" s="15">
        <v>5.280699310249</v>
      </c>
    </row>
    <row r="101">
      <c r="A101" s="9" t="s">
        <v>10</v>
      </c>
      <c r="B101" s="9" t="s">
        <v>38</v>
      </c>
      <c r="C101" s="9" t="s">
        <v>40</v>
      </c>
      <c r="D101" s="9" t="s">
        <v>31</v>
      </c>
      <c r="E101" s="9" t="s">
        <v>14</v>
      </c>
      <c r="F101" s="9">
        <v>180.0</v>
      </c>
      <c r="G101" s="9" t="s">
        <v>58</v>
      </c>
      <c r="H101" s="9">
        <v>2022.0</v>
      </c>
      <c r="I101" s="9" t="s">
        <v>54</v>
      </c>
      <c r="J101" s="9">
        <v>15.417940583080977</v>
      </c>
      <c r="K101" s="9">
        <v>9.278846213856458</v>
      </c>
      <c r="L101" s="15">
        <v>4.23401606838077</v>
      </c>
    </row>
    <row r="102">
      <c r="A102" s="9" t="s">
        <v>10</v>
      </c>
      <c r="B102" s="9" t="s">
        <v>38</v>
      </c>
      <c r="C102" s="9" t="s">
        <v>40</v>
      </c>
      <c r="D102" s="9" t="s">
        <v>31</v>
      </c>
      <c r="E102" s="9" t="s">
        <v>14</v>
      </c>
      <c r="F102" s="9">
        <v>180.0</v>
      </c>
      <c r="G102" s="9" t="s">
        <v>58</v>
      </c>
      <c r="H102" s="9">
        <v>2023.0</v>
      </c>
      <c r="I102" s="9" t="s">
        <v>51</v>
      </c>
      <c r="J102" s="9">
        <v>14.164808661780171</v>
      </c>
      <c r="K102" s="9">
        <v>8.67295482772769</v>
      </c>
      <c r="L102" s="15">
        <v>3.957542700309235</v>
      </c>
    </row>
    <row r="103">
      <c r="A103" s="9" t="s">
        <v>10</v>
      </c>
      <c r="B103" s="9" t="s">
        <v>38</v>
      </c>
      <c r="C103" s="9" t="s">
        <v>40</v>
      </c>
      <c r="D103" s="9" t="s">
        <v>31</v>
      </c>
      <c r="E103" s="9" t="s">
        <v>14</v>
      </c>
      <c r="F103" s="9">
        <v>180.0</v>
      </c>
      <c r="G103" s="9" t="s">
        <v>58</v>
      </c>
      <c r="H103" s="9">
        <v>2023.0</v>
      </c>
      <c r="I103" s="9" t="s">
        <v>52</v>
      </c>
      <c r="J103" s="9">
        <v>13.026621286278342</v>
      </c>
      <c r="K103" s="9">
        <v>8.401695455672428</v>
      </c>
      <c r="L103" s="15">
        <v>3.833764752759493</v>
      </c>
    </row>
    <row r="104">
      <c r="A104" s="9" t="s">
        <v>10</v>
      </c>
      <c r="B104" s="9" t="s">
        <v>38</v>
      </c>
      <c r="C104" s="9" t="s">
        <v>40</v>
      </c>
      <c r="D104" s="9" t="s">
        <v>31</v>
      </c>
      <c r="E104" s="9" t="s">
        <v>14</v>
      </c>
      <c r="F104" s="9">
        <v>180.0</v>
      </c>
      <c r="G104" s="9" t="s">
        <v>58</v>
      </c>
      <c r="H104" s="9">
        <v>2023.0</v>
      </c>
      <c r="I104" s="9" t="s">
        <v>53</v>
      </c>
      <c r="J104" s="9">
        <v>12.423009663228896</v>
      </c>
      <c r="K104" s="9">
        <v>8.235128629890543</v>
      </c>
      <c r="L104" s="15">
        <v>3.757758900246654</v>
      </c>
    </row>
    <row r="105">
      <c r="A105" s="9" t="s">
        <v>10</v>
      </c>
      <c r="B105" s="9" t="s">
        <v>38</v>
      </c>
      <c r="C105" s="9" t="s">
        <v>40</v>
      </c>
      <c r="D105" s="9" t="s">
        <v>31</v>
      </c>
      <c r="E105" s="9" t="s">
        <v>14</v>
      </c>
      <c r="F105" s="9">
        <v>180.0</v>
      </c>
      <c r="G105" s="9" t="s">
        <v>58</v>
      </c>
      <c r="H105" s="9">
        <v>2023.0</v>
      </c>
      <c r="I105" s="9" t="s">
        <v>54</v>
      </c>
      <c r="J105" s="9">
        <v>13.715588239834752</v>
      </c>
      <c r="K105" s="9">
        <v>9.024843056114877</v>
      </c>
      <c r="L105" s="15">
        <v>4.118112277487966</v>
      </c>
    </row>
    <row r="106">
      <c r="A106" s="9" t="s">
        <v>24</v>
      </c>
      <c r="B106" s="9" t="s">
        <v>38</v>
      </c>
      <c r="C106" s="9" t="s">
        <v>40</v>
      </c>
      <c r="D106" s="9" t="s">
        <v>31</v>
      </c>
      <c r="E106" s="9" t="s">
        <v>14</v>
      </c>
      <c r="F106" s="9">
        <v>180.0</v>
      </c>
      <c r="G106" s="9" t="s">
        <v>58</v>
      </c>
      <c r="H106" s="9">
        <v>2022.0</v>
      </c>
      <c r="I106" s="9" t="s">
        <v>51</v>
      </c>
      <c r="J106" s="9">
        <v>29.111952217164678</v>
      </c>
      <c r="K106" s="9">
        <v>18.617170105424087</v>
      </c>
      <c r="L106" s="15">
        <v>8.495172304551259</v>
      </c>
    </row>
    <row r="107">
      <c r="A107" s="9" t="s">
        <v>24</v>
      </c>
      <c r="B107" s="9" t="s">
        <v>38</v>
      </c>
      <c r="C107" s="9" t="s">
        <v>40</v>
      </c>
      <c r="D107" s="9" t="s">
        <v>31</v>
      </c>
      <c r="E107" s="9" t="s">
        <v>14</v>
      </c>
      <c r="F107" s="9">
        <v>180.0</v>
      </c>
      <c r="G107" s="9" t="s">
        <v>58</v>
      </c>
      <c r="H107" s="9">
        <v>2022.0</v>
      </c>
      <c r="I107" s="9" t="s">
        <v>52</v>
      </c>
      <c r="J107" s="9">
        <v>34.795887323603026</v>
      </c>
      <c r="K107" s="9">
        <v>23.223532939897368</v>
      </c>
      <c r="L107" s="15">
        <v>10.59709465658105</v>
      </c>
    </row>
    <row r="108">
      <c r="A108" s="9" t="s">
        <v>24</v>
      </c>
      <c r="B108" s="9" t="s">
        <v>38</v>
      </c>
      <c r="C108" s="9" t="s">
        <v>40</v>
      </c>
      <c r="D108" s="9" t="s">
        <v>31</v>
      </c>
      <c r="E108" s="9" t="s">
        <v>14</v>
      </c>
      <c r="F108" s="9">
        <v>180.0</v>
      </c>
      <c r="G108" s="9" t="s">
        <v>58</v>
      </c>
      <c r="H108" s="9">
        <v>2022.0</v>
      </c>
      <c r="I108" s="9" t="s">
        <v>53</v>
      </c>
      <c r="J108" s="9">
        <v>34.30182827795797</v>
      </c>
      <c r="K108" s="9">
        <v>21.560089967933216</v>
      </c>
      <c r="L108" s="15">
        <v>9.838051548224147</v>
      </c>
    </row>
    <row r="109">
      <c r="A109" s="9" t="s">
        <v>24</v>
      </c>
      <c r="B109" s="9" t="s">
        <v>38</v>
      </c>
      <c r="C109" s="9" t="s">
        <v>40</v>
      </c>
      <c r="D109" s="9" t="s">
        <v>31</v>
      </c>
      <c r="E109" s="9" t="s">
        <v>14</v>
      </c>
      <c r="F109" s="9">
        <v>180.0</v>
      </c>
      <c r="G109" s="9" t="s">
        <v>58</v>
      </c>
      <c r="H109" s="9">
        <v>2022.0</v>
      </c>
      <c r="I109" s="9" t="s">
        <v>54</v>
      </c>
      <c r="J109" s="9">
        <v>33.03205715593076</v>
      </c>
      <c r="K109" s="9">
        <v>21.402416975086204</v>
      </c>
      <c r="L109" s="15">
        <v>9.766104026961536</v>
      </c>
    </row>
    <row r="110">
      <c r="A110" s="9" t="s">
        <v>24</v>
      </c>
      <c r="B110" s="9" t="s">
        <v>38</v>
      </c>
      <c r="C110" s="9" t="s">
        <v>40</v>
      </c>
      <c r="D110" s="9" t="s">
        <v>31</v>
      </c>
      <c r="E110" s="9" t="s">
        <v>14</v>
      </c>
      <c r="F110" s="9">
        <v>180.0</v>
      </c>
      <c r="G110" s="9" t="s">
        <v>58</v>
      </c>
      <c r="H110" s="9">
        <v>2023.0</v>
      </c>
      <c r="I110" s="9" t="s">
        <v>51</v>
      </c>
      <c r="J110" s="9">
        <v>27.807469067806185</v>
      </c>
      <c r="K110" s="9">
        <v>20.418169118687683</v>
      </c>
      <c r="L110" s="15">
        <v>9.31698339889924</v>
      </c>
    </row>
    <row r="111">
      <c r="A111" s="9" t="s">
        <v>24</v>
      </c>
      <c r="B111" s="9" t="s">
        <v>38</v>
      </c>
      <c r="C111" s="9" t="s">
        <v>40</v>
      </c>
      <c r="D111" s="9" t="s">
        <v>31</v>
      </c>
      <c r="E111" s="9" t="s">
        <v>14</v>
      </c>
      <c r="F111" s="9">
        <v>180.0</v>
      </c>
      <c r="G111" s="9" t="s">
        <v>58</v>
      </c>
      <c r="H111" s="9">
        <v>2023.0</v>
      </c>
      <c r="I111" s="9" t="s">
        <v>52</v>
      </c>
      <c r="J111" s="9">
        <v>23.630112828438428</v>
      </c>
      <c r="K111" s="9">
        <v>14.880546690179626</v>
      </c>
      <c r="L111" s="15">
        <v>6.790119411444046</v>
      </c>
    </row>
    <row r="112">
      <c r="A112" s="9" t="s">
        <v>24</v>
      </c>
      <c r="B112" s="9" t="s">
        <v>38</v>
      </c>
      <c r="C112" s="9" t="s">
        <v>40</v>
      </c>
      <c r="D112" s="9" t="s">
        <v>31</v>
      </c>
      <c r="E112" s="9" t="s">
        <v>14</v>
      </c>
      <c r="F112" s="9">
        <v>180.0</v>
      </c>
      <c r="G112" s="9" t="s">
        <v>58</v>
      </c>
      <c r="H112" s="9">
        <v>2023.0</v>
      </c>
      <c r="I112" s="9" t="s">
        <v>53</v>
      </c>
      <c r="J112" s="9">
        <v>30.74640816700411</v>
      </c>
      <c r="K112" s="9">
        <v>19.427329700597078</v>
      </c>
      <c r="L112" s="15">
        <v>8.864854985442426</v>
      </c>
    </row>
    <row r="113">
      <c r="A113" s="9" t="s">
        <v>24</v>
      </c>
      <c r="B113" s="9" t="s">
        <v>38</v>
      </c>
      <c r="C113" s="9" t="s">
        <v>40</v>
      </c>
      <c r="D113" s="9" t="s">
        <v>31</v>
      </c>
      <c r="E113" s="9" t="s">
        <v>14</v>
      </c>
      <c r="F113" s="9">
        <v>180.0</v>
      </c>
      <c r="G113" s="9" t="s">
        <v>58</v>
      </c>
      <c r="H113" s="9">
        <v>2023.0</v>
      </c>
      <c r="I113" s="9" t="s">
        <v>54</v>
      </c>
      <c r="J113" s="9">
        <v>19.788468871918013</v>
      </c>
      <c r="K113" s="9">
        <v>14.213918751134484</v>
      </c>
      <c r="L113" s="15">
        <v>6.485931440170881</v>
      </c>
    </row>
    <row r="114">
      <c r="A114" s="9" t="s">
        <v>25</v>
      </c>
      <c r="B114" s="9" t="s">
        <v>38</v>
      </c>
      <c r="C114" s="9" t="s">
        <v>40</v>
      </c>
      <c r="D114" s="9" t="s">
        <v>31</v>
      </c>
      <c r="E114" s="9" t="s">
        <v>14</v>
      </c>
      <c r="F114" s="9">
        <v>180.0</v>
      </c>
      <c r="G114" s="9" t="s">
        <v>58</v>
      </c>
      <c r="H114" s="9">
        <v>2022.0</v>
      </c>
      <c r="I114" s="9" t="s">
        <v>51</v>
      </c>
      <c r="J114" s="9">
        <v>6.7705433684409195</v>
      </c>
      <c r="K114" s="9">
        <v>5.071470788788975</v>
      </c>
      <c r="L114" s="15">
        <v>2.314155048500559</v>
      </c>
    </row>
    <row r="115">
      <c r="A115" s="9" t="s">
        <v>25</v>
      </c>
      <c r="B115" s="9" t="s">
        <v>38</v>
      </c>
      <c r="C115" s="9" t="s">
        <v>40</v>
      </c>
      <c r="D115" s="9" t="s">
        <v>31</v>
      </c>
      <c r="E115" s="9" t="s">
        <v>14</v>
      </c>
      <c r="F115" s="9">
        <v>180.0</v>
      </c>
      <c r="G115" s="9" t="s">
        <v>58</v>
      </c>
      <c r="H115" s="9">
        <v>2022.0</v>
      </c>
      <c r="I115" s="9" t="s">
        <v>52</v>
      </c>
      <c r="J115" s="9">
        <v>9.564772168456587</v>
      </c>
      <c r="K115" s="9">
        <v>6.670732750037665</v>
      </c>
      <c r="L115" s="15">
        <v>3.043911818406418</v>
      </c>
    </row>
    <row r="116">
      <c r="A116" s="9" t="s">
        <v>25</v>
      </c>
      <c r="B116" s="9" t="s">
        <v>38</v>
      </c>
      <c r="C116" s="9" t="s">
        <v>40</v>
      </c>
      <c r="D116" s="9" t="s">
        <v>31</v>
      </c>
      <c r="E116" s="9" t="s">
        <v>14</v>
      </c>
      <c r="F116" s="9">
        <v>180.0</v>
      </c>
      <c r="G116" s="9" t="s">
        <v>58</v>
      </c>
      <c r="H116" s="9">
        <v>2022.0</v>
      </c>
      <c r="I116" s="9" t="s">
        <v>53</v>
      </c>
      <c r="J116" s="9">
        <v>8.132356904347928</v>
      </c>
      <c r="K116" s="9">
        <v>5.106762981006077</v>
      </c>
      <c r="L116" s="15">
        <v>2.330259174540761</v>
      </c>
    </row>
    <row r="117">
      <c r="A117" s="9" t="s">
        <v>25</v>
      </c>
      <c r="B117" s="9" t="s">
        <v>38</v>
      </c>
      <c r="C117" s="9" t="s">
        <v>40</v>
      </c>
      <c r="D117" s="9" t="s">
        <v>31</v>
      </c>
      <c r="E117" s="9" t="s">
        <v>14</v>
      </c>
      <c r="F117" s="9">
        <v>180.0</v>
      </c>
      <c r="G117" s="9" t="s">
        <v>58</v>
      </c>
      <c r="H117" s="9">
        <v>2022.0</v>
      </c>
      <c r="I117" s="9" t="s">
        <v>54</v>
      </c>
      <c r="J117" s="9">
        <v>7.289324248458438</v>
      </c>
      <c r="K117" s="9">
        <v>4.668428430564669</v>
      </c>
      <c r="L117" s="15">
        <v>2.1302434088818933</v>
      </c>
    </row>
    <row r="118">
      <c r="A118" s="9" t="s">
        <v>25</v>
      </c>
      <c r="B118" s="9" t="s">
        <v>38</v>
      </c>
      <c r="C118" s="9" t="s">
        <v>40</v>
      </c>
      <c r="D118" s="9" t="s">
        <v>31</v>
      </c>
      <c r="E118" s="9" t="s">
        <v>14</v>
      </c>
      <c r="F118" s="9">
        <v>180.0</v>
      </c>
      <c r="G118" s="9" t="s">
        <v>58</v>
      </c>
      <c r="H118" s="9">
        <v>2023.0</v>
      </c>
      <c r="I118" s="9" t="s">
        <v>51</v>
      </c>
      <c r="J118" s="9">
        <v>6.063321492236651</v>
      </c>
      <c r="K118" s="9">
        <v>3.8590571968535556</v>
      </c>
      <c r="L118" s="15">
        <v>1.7609204639988847</v>
      </c>
    </row>
    <row r="119">
      <c r="A119" s="9" t="s">
        <v>25</v>
      </c>
      <c r="B119" s="9" t="s">
        <v>38</v>
      </c>
      <c r="C119" s="9" t="s">
        <v>40</v>
      </c>
      <c r="D119" s="9" t="s">
        <v>31</v>
      </c>
      <c r="E119" s="9" t="s">
        <v>14</v>
      </c>
      <c r="F119" s="9">
        <v>180.0</v>
      </c>
      <c r="G119" s="9" t="s">
        <v>58</v>
      </c>
      <c r="H119" s="9">
        <v>2023.0</v>
      </c>
      <c r="I119" s="9" t="s">
        <v>52</v>
      </c>
      <c r="J119" s="9">
        <v>3.822702360871048</v>
      </c>
      <c r="K119" s="9">
        <v>2.3225337728264743</v>
      </c>
      <c r="L119" s="15">
        <v>1.0597918196789753</v>
      </c>
    </row>
    <row r="120">
      <c r="A120" s="9" t="s">
        <v>25</v>
      </c>
      <c r="B120" s="9" t="s">
        <v>38</v>
      </c>
      <c r="C120" s="9" t="s">
        <v>40</v>
      </c>
      <c r="D120" s="9" t="s">
        <v>31</v>
      </c>
      <c r="E120" s="9" t="s">
        <v>14</v>
      </c>
      <c r="F120" s="9">
        <v>180.0</v>
      </c>
      <c r="G120" s="9" t="s">
        <v>58</v>
      </c>
      <c r="H120" s="9">
        <v>2023.0</v>
      </c>
      <c r="I120" s="9" t="s">
        <v>53</v>
      </c>
      <c r="J120" s="9">
        <v>3.1899656431489776</v>
      </c>
      <c r="K120" s="9">
        <v>2.3316812247807066</v>
      </c>
      <c r="L120" s="15">
        <v>1.0639658794345</v>
      </c>
    </row>
    <row r="121">
      <c r="A121" s="9" t="s">
        <v>25</v>
      </c>
      <c r="B121" s="9" t="s">
        <v>38</v>
      </c>
      <c r="C121" s="9" t="s">
        <v>40</v>
      </c>
      <c r="D121" s="9" t="s">
        <v>31</v>
      </c>
      <c r="E121" s="9" t="s">
        <v>14</v>
      </c>
      <c r="F121" s="9">
        <v>180.0</v>
      </c>
      <c r="G121" s="9" t="s">
        <v>58</v>
      </c>
      <c r="H121" s="9">
        <v>2023.0</v>
      </c>
      <c r="I121" s="9" t="s">
        <v>54</v>
      </c>
      <c r="J121" s="9">
        <v>3.1651930876985284</v>
      </c>
      <c r="K121" s="9">
        <v>2.308053145938099</v>
      </c>
      <c r="L121" s="15">
        <v>1.0531841870582246</v>
      </c>
    </row>
    <row r="122">
      <c r="A122" s="9" t="s">
        <v>26</v>
      </c>
      <c r="B122" s="9" t="s">
        <v>38</v>
      </c>
      <c r="C122" s="9" t="s">
        <v>40</v>
      </c>
      <c r="D122" s="9" t="s">
        <v>31</v>
      </c>
      <c r="E122" s="9" t="s">
        <v>14</v>
      </c>
      <c r="F122" s="9">
        <v>180.0</v>
      </c>
      <c r="G122" s="9" t="s">
        <v>58</v>
      </c>
      <c r="H122" s="9">
        <v>2022.0</v>
      </c>
      <c r="I122" s="9" t="s">
        <v>51</v>
      </c>
      <c r="J122" s="9">
        <v>42.12541791784681</v>
      </c>
      <c r="K122" s="9">
        <v>29.488037815643843</v>
      </c>
      <c r="L122" s="15">
        <v>13.455641257423611</v>
      </c>
    </row>
    <row r="123">
      <c r="A123" s="9" t="s">
        <v>26</v>
      </c>
      <c r="B123" s="9" t="s">
        <v>38</v>
      </c>
      <c r="C123" s="9" t="s">
        <v>40</v>
      </c>
      <c r="D123" s="9" t="s">
        <v>31</v>
      </c>
      <c r="E123" s="9" t="s">
        <v>14</v>
      </c>
      <c r="F123" s="9">
        <v>180.0</v>
      </c>
      <c r="G123" s="9" t="s">
        <v>58</v>
      </c>
      <c r="H123" s="9">
        <v>2022.0</v>
      </c>
      <c r="I123" s="9" t="s">
        <v>52</v>
      </c>
      <c r="J123" s="9">
        <v>41.43344776631471</v>
      </c>
      <c r="K123" s="9">
        <v>25.26497501919459</v>
      </c>
      <c r="L123" s="15">
        <v>11.528621957195798</v>
      </c>
    </row>
    <row r="124">
      <c r="A124" s="9" t="s">
        <v>26</v>
      </c>
      <c r="B124" s="9" t="s">
        <v>38</v>
      </c>
      <c r="C124" s="9" t="s">
        <v>40</v>
      </c>
      <c r="D124" s="9" t="s">
        <v>31</v>
      </c>
      <c r="E124" s="9" t="s">
        <v>14</v>
      </c>
      <c r="F124" s="9">
        <v>180.0</v>
      </c>
      <c r="G124" s="9" t="s">
        <v>58</v>
      </c>
      <c r="H124" s="9">
        <v>2022.0</v>
      </c>
      <c r="I124" s="9" t="s">
        <v>53</v>
      </c>
      <c r="J124" s="9">
        <v>42.87943965255223</v>
      </c>
      <c r="K124" s="9">
        <v>26.87097156740061</v>
      </c>
      <c r="L124" s="15">
        <v>12.261451776135344</v>
      </c>
    </row>
    <row r="125">
      <c r="A125" s="9" t="s">
        <v>26</v>
      </c>
      <c r="B125" s="9" t="s">
        <v>38</v>
      </c>
      <c r="C125" s="9" t="s">
        <v>40</v>
      </c>
      <c r="D125" s="9" t="s">
        <v>31</v>
      </c>
      <c r="E125" s="9" t="s">
        <v>14</v>
      </c>
      <c r="F125" s="9">
        <v>180.0</v>
      </c>
      <c r="G125" s="9" t="s">
        <v>58</v>
      </c>
      <c r="H125" s="9">
        <v>2022.0</v>
      </c>
      <c r="I125" s="9" t="s">
        <v>54</v>
      </c>
      <c r="J125" s="9">
        <v>43.47403878184628</v>
      </c>
      <c r="K125" s="9">
        <v>26.17273292276354</v>
      </c>
      <c r="L125" s="15">
        <v>11.94283957233107</v>
      </c>
    </row>
    <row r="126">
      <c r="A126" s="9" t="s">
        <v>26</v>
      </c>
      <c r="B126" s="9" t="s">
        <v>38</v>
      </c>
      <c r="C126" s="9" t="s">
        <v>40</v>
      </c>
      <c r="D126" s="9" t="s">
        <v>31</v>
      </c>
      <c r="E126" s="9" t="s">
        <v>14</v>
      </c>
      <c r="F126" s="9">
        <v>180.0</v>
      </c>
      <c r="G126" s="9" t="s">
        <v>58</v>
      </c>
      <c r="H126" s="9">
        <v>2023.0</v>
      </c>
      <c r="I126" s="9" t="s">
        <v>51</v>
      </c>
      <c r="J126" s="9">
        <v>38.801010517315</v>
      </c>
      <c r="K126" s="9">
        <v>25.316063516408217</v>
      </c>
      <c r="L126" s="15">
        <v>11.551934070914085</v>
      </c>
    </row>
    <row r="127">
      <c r="A127" s="9" t="s">
        <v>26</v>
      </c>
      <c r="B127" s="9" t="s">
        <v>38</v>
      </c>
      <c r="C127" s="9" t="s">
        <v>40</v>
      </c>
      <c r="D127" s="9" t="s">
        <v>31</v>
      </c>
      <c r="E127" s="9" t="s">
        <v>14</v>
      </c>
      <c r="F127" s="9">
        <v>180.0</v>
      </c>
      <c r="G127" s="9" t="s">
        <v>58</v>
      </c>
      <c r="H127" s="9">
        <v>2023.0</v>
      </c>
      <c r="I127" s="9" t="s">
        <v>52</v>
      </c>
      <c r="J127" s="9">
        <v>34.285409290191765</v>
      </c>
      <c r="K127" s="9">
        <v>21.93461843142898</v>
      </c>
      <c r="L127" s="15">
        <v>10.00895205632169</v>
      </c>
    </row>
    <row r="128">
      <c r="A128" s="9" t="s">
        <v>26</v>
      </c>
      <c r="B128" s="9" t="s">
        <v>38</v>
      </c>
      <c r="C128" s="9" t="s">
        <v>40</v>
      </c>
      <c r="D128" s="9" t="s">
        <v>31</v>
      </c>
      <c r="E128" s="9" t="s">
        <v>14</v>
      </c>
      <c r="F128" s="9">
        <v>180.0</v>
      </c>
      <c r="G128" s="9" t="s">
        <v>58</v>
      </c>
      <c r="H128" s="9">
        <v>2023.0</v>
      </c>
      <c r="I128" s="9" t="s">
        <v>53</v>
      </c>
      <c r="J128" s="9">
        <v>31.702827991181557</v>
      </c>
      <c r="K128" s="9">
        <v>20.25115492962187</v>
      </c>
      <c r="L128" s="15">
        <v>9.240773410733228</v>
      </c>
    </row>
    <row r="129">
      <c r="A129" s="9" t="s">
        <v>26</v>
      </c>
      <c r="B129" s="9" t="s">
        <v>38</v>
      </c>
      <c r="C129" s="9" t="s">
        <v>40</v>
      </c>
      <c r="D129" s="9" t="s">
        <v>31</v>
      </c>
      <c r="E129" s="9" t="s">
        <v>14</v>
      </c>
      <c r="F129" s="9">
        <v>180.0</v>
      </c>
      <c r="G129" s="9" t="s">
        <v>58</v>
      </c>
      <c r="H129" s="9">
        <v>2023.0</v>
      </c>
      <c r="I129" s="9" t="s">
        <v>54</v>
      </c>
      <c r="J129" s="9">
        <v>33.59595182982744</v>
      </c>
      <c r="K129" s="9">
        <v>20.79596446638963</v>
      </c>
      <c r="L129" s="15">
        <v>9.489374613912677</v>
      </c>
    </row>
    <row r="130">
      <c r="A130" s="9" t="s">
        <v>10</v>
      </c>
      <c r="B130" s="9" t="s">
        <v>38</v>
      </c>
      <c r="C130" s="9" t="s">
        <v>40</v>
      </c>
      <c r="D130" s="9" t="s">
        <v>13</v>
      </c>
      <c r="E130" s="9" t="s">
        <v>14</v>
      </c>
      <c r="F130" s="9">
        <v>180.0</v>
      </c>
      <c r="G130" s="9" t="s">
        <v>59</v>
      </c>
      <c r="H130" s="9">
        <v>2022.0</v>
      </c>
      <c r="I130" s="9" t="s">
        <v>51</v>
      </c>
      <c r="J130" s="9">
        <v>38.462885142510686</v>
      </c>
      <c r="K130" s="9">
        <v>23.393166339871755</v>
      </c>
      <c r="L130" s="15">
        <v>11.879527899589556</v>
      </c>
    </row>
    <row r="131">
      <c r="A131" s="9" t="s">
        <v>10</v>
      </c>
      <c r="B131" s="9" t="s">
        <v>38</v>
      </c>
      <c r="C131" s="9" t="s">
        <v>40</v>
      </c>
      <c r="D131" s="9" t="s">
        <v>13</v>
      </c>
      <c r="E131" s="9" t="s">
        <v>14</v>
      </c>
      <c r="F131" s="9">
        <v>180.0</v>
      </c>
      <c r="G131" s="9" t="s">
        <v>59</v>
      </c>
      <c r="H131" s="9">
        <v>2022.0</v>
      </c>
      <c r="I131" s="9" t="s">
        <v>52</v>
      </c>
      <c r="J131" s="9">
        <v>45.94021520076109</v>
      </c>
      <c r="K131" s="9">
        <v>33.99336825981181</v>
      </c>
      <c r="L131" s="15">
        <v>17.262527046420786</v>
      </c>
    </row>
    <row r="132">
      <c r="A132" s="9" t="s">
        <v>10</v>
      </c>
      <c r="B132" s="9" t="s">
        <v>38</v>
      </c>
      <c r="C132" s="9" t="s">
        <v>40</v>
      </c>
      <c r="D132" s="9" t="s">
        <v>13</v>
      </c>
      <c r="E132" s="9" t="s">
        <v>14</v>
      </c>
      <c r="F132" s="9">
        <v>180.0</v>
      </c>
      <c r="G132" s="9" t="s">
        <v>59</v>
      </c>
      <c r="H132" s="9">
        <v>2022.0</v>
      </c>
      <c r="I132" s="9" t="s">
        <v>53</v>
      </c>
      <c r="J132" s="9">
        <v>47.14662812665364</v>
      </c>
      <c r="K132" s="9">
        <v>29.055388555649863</v>
      </c>
      <c r="L132" s="15">
        <v>14.754920046541672</v>
      </c>
    </row>
    <row r="133">
      <c r="A133" s="9" t="s">
        <v>10</v>
      </c>
      <c r="B133" s="9" t="s">
        <v>38</v>
      </c>
      <c r="C133" s="9" t="s">
        <v>40</v>
      </c>
      <c r="D133" s="9" t="s">
        <v>13</v>
      </c>
      <c r="E133" s="9" t="s">
        <v>14</v>
      </c>
      <c r="F133" s="9">
        <v>180.0</v>
      </c>
      <c r="G133" s="9" t="s">
        <v>59</v>
      </c>
      <c r="H133" s="9">
        <v>2022.0</v>
      </c>
      <c r="I133" s="9" t="s">
        <v>54</v>
      </c>
      <c r="J133" s="9">
        <v>44.640850544407755</v>
      </c>
      <c r="K133" s="9">
        <v>28.812799031666835</v>
      </c>
      <c r="L133" s="15">
        <v>14.631728129020331</v>
      </c>
    </row>
    <row r="134">
      <c r="A134" s="9" t="s">
        <v>10</v>
      </c>
      <c r="B134" s="9" t="s">
        <v>38</v>
      </c>
      <c r="C134" s="9" t="s">
        <v>40</v>
      </c>
      <c r="D134" s="9" t="s">
        <v>13</v>
      </c>
      <c r="E134" s="9" t="s">
        <v>14</v>
      </c>
      <c r="F134" s="9">
        <v>180.0</v>
      </c>
      <c r="G134" s="9" t="s">
        <v>59</v>
      </c>
      <c r="H134" s="9">
        <v>2023.0</v>
      </c>
      <c r="I134" s="9" t="s">
        <v>51</v>
      </c>
      <c r="J134" s="9">
        <v>46.10032161600557</v>
      </c>
      <c r="K134" s="9">
        <v>28.272880933112102</v>
      </c>
      <c r="L134" s="15">
        <v>14.35754668551295</v>
      </c>
    </row>
    <row r="135">
      <c r="A135" s="9" t="s">
        <v>10</v>
      </c>
      <c r="B135" s="9" t="s">
        <v>38</v>
      </c>
      <c r="C135" s="9" t="s">
        <v>40</v>
      </c>
      <c r="D135" s="9" t="s">
        <v>13</v>
      </c>
      <c r="E135" s="9" t="s">
        <v>14</v>
      </c>
      <c r="F135" s="9">
        <v>180.0</v>
      </c>
      <c r="G135" s="9" t="s">
        <v>59</v>
      </c>
      <c r="H135" s="9">
        <v>2023.0</v>
      </c>
      <c r="I135" s="9" t="s">
        <v>52</v>
      </c>
      <c r="J135" s="9">
        <v>42.535217323537466</v>
      </c>
      <c r="K135" s="9">
        <v>31.304096795716898</v>
      </c>
      <c r="L135" s="15">
        <v>15.89686004251315</v>
      </c>
    </row>
    <row r="136">
      <c r="A136" s="9" t="s">
        <v>10</v>
      </c>
      <c r="B136" s="9" t="s">
        <v>38</v>
      </c>
      <c r="C136" s="9" t="s">
        <v>40</v>
      </c>
      <c r="D136" s="9" t="s">
        <v>13</v>
      </c>
      <c r="E136" s="9" t="s">
        <v>14</v>
      </c>
      <c r="F136" s="9">
        <v>180.0</v>
      </c>
      <c r="G136" s="9" t="s">
        <v>59</v>
      </c>
      <c r="H136" s="9">
        <v>2023.0</v>
      </c>
      <c r="I136" s="9" t="s">
        <v>53</v>
      </c>
      <c r="J136" s="9">
        <v>38.807024673967646</v>
      </c>
      <c r="K136" s="9">
        <v>24.71162506401872</v>
      </c>
      <c r="L136" s="15">
        <v>12.54906818201235</v>
      </c>
    </row>
    <row r="137">
      <c r="A137" s="9" t="s">
        <v>10</v>
      </c>
      <c r="B137" s="9" t="s">
        <v>38</v>
      </c>
      <c r="C137" s="9" t="s">
        <v>40</v>
      </c>
      <c r="D137" s="9" t="s">
        <v>13</v>
      </c>
      <c r="E137" s="9" t="s">
        <v>14</v>
      </c>
      <c r="F137" s="9">
        <v>180.0</v>
      </c>
      <c r="G137" s="9" t="s">
        <v>59</v>
      </c>
      <c r="H137" s="9">
        <v>2023.0</v>
      </c>
      <c r="I137" s="9" t="s">
        <v>54</v>
      </c>
      <c r="J137" s="9">
        <v>38.150183610905884</v>
      </c>
      <c r="K137" s="9">
        <v>23.91648992116003</v>
      </c>
      <c r="L137" s="15">
        <v>12.145282308125141</v>
      </c>
    </row>
    <row r="138">
      <c r="A138" s="9" t="s">
        <v>24</v>
      </c>
      <c r="B138" s="9" t="s">
        <v>38</v>
      </c>
      <c r="C138" s="9" t="s">
        <v>40</v>
      </c>
      <c r="D138" s="9" t="s">
        <v>13</v>
      </c>
      <c r="E138" s="9" t="s">
        <v>14</v>
      </c>
      <c r="F138" s="9">
        <v>180.0</v>
      </c>
      <c r="G138" s="9" t="s">
        <v>59</v>
      </c>
      <c r="H138" s="9">
        <v>2022.0</v>
      </c>
      <c r="I138" s="9" t="s">
        <v>51</v>
      </c>
      <c r="J138" s="9">
        <v>37.676221030979875</v>
      </c>
      <c r="K138" s="9">
        <v>26.09340544704726</v>
      </c>
      <c r="L138" s="15">
        <v>13.25076449677395</v>
      </c>
    </row>
    <row r="139">
      <c r="A139" s="9" t="s">
        <v>24</v>
      </c>
      <c r="B139" s="9" t="s">
        <v>38</v>
      </c>
      <c r="C139" s="9" t="s">
        <v>40</v>
      </c>
      <c r="D139" s="9" t="s">
        <v>13</v>
      </c>
      <c r="E139" s="9" t="s">
        <v>14</v>
      </c>
      <c r="F139" s="9">
        <v>180.0</v>
      </c>
      <c r="G139" s="9" t="s">
        <v>59</v>
      </c>
      <c r="H139" s="9">
        <v>2022.0</v>
      </c>
      <c r="I139" s="9" t="s">
        <v>52</v>
      </c>
      <c r="J139" s="9">
        <v>44.73629040625268</v>
      </c>
      <c r="K139" s="9">
        <v>27.27795241790426</v>
      </c>
      <c r="L139" s="15">
        <v>13.852301654430358</v>
      </c>
    </row>
    <row r="140">
      <c r="A140" s="9" t="s">
        <v>24</v>
      </c>
      <c r="B140" s="9" t="s">
        <v>38</v>
      </c>
      <c r="C140" s="9" t="s">
        <v>40</v>
      </c>
      <c r="D140" s="9" t="s">
        <v>13</v>
      </c>
      <c r="E140" s="9" t="s">
        <v>14</v>
      </c>
      <c r="F140" s="9">
        <v>180.0</v>
      </c>
      <c r="G140" s="9" t="s">
        <v>59</v>
      </c>
      <c r="H140" s="9">
        <v>2022.0</v>
      </c>
      <c r="I140" s="9" t="s">
        <v>53</v>
      </c>
      <c r="J140" s="9">
        <v>47.79964239875507</v>
      </c>
      <c r="K140" s="9">
        <v>35.247899040498304</v>
      </c>
      <c r="L140" s="15">
        <v>17.89960341280637</v>
      </c>
    </row>
    <row r="141">
      <c r="A141" s="9" t="s">
        <v>24</v>
      </c>
      <c r="B141" s="9" t="s">
        <v>38</v>
      </c>
      <c r="C141" s="9" t="s">
        <v>40</v>
      </c>
      <c r="D141" s="9" t="s">
        <v>13</v>
      </c>
      <c r="E141" s="9" t="s">
        <v>14</v>
      </c>
      <c r="F141" s="9">
        <v>180.0</v>
      </c>
      <c r="G141" s="9" t="s">
        <v>59</v>
      </c>
      <c r="H141" s="9">
        <v>2022.0</v>
      </c>
      <c r="I141" s="9" t="s">
        <v>54</v>
      </c>
      <c r="J141" s="9">
        <v>43.513585222075065</v>
      </c>
      <c r="K141" s="9">
        <v>27.290757713468814</v>
      </c>
      <c r="L141" s="15">
        <v>13.858804445190339</v>
      </c>
    </row>
    <row r="142">
      <c r="A142" s="9" t="s">
        <v>24</v>
      </c>
      <c r="B142" s="9" t="s">
        <v>38</v>
      </c>
      <c r="C142" s="9" t="s">
        <v>40</v>
      </c>
      <c r="D142" s="9" t="s">
        <v>13</v>
      </c>
      <c r="E142" s="9" t="s">
        <v>14</v>
      </c>
      <c r="F142" s="9">
        <v>180.0</v>
      </c>
      <c r="G142" s="9" t="s">
        <v>59</v>
      </c>
      <c r="H142" s="9">
        <v>2023.0</v>
      </c>
      <c r="I142" s="9" t="s">
        <v>51</v>
      </c>
      <c r="J142" s="9">
        <v>45.44253051252194</v>
      </c>
      <c r="K142" s="9">
        <v>29.09321500668109</v>
      </c>
      <c r="L142" s="15">
        <v>14.774129091347293</v>
      </c>
    </row>
    <row r="143">
      <c r="A143" s="9" t="s">
        <v>24</v>
      </c>
      <c r="B143" s="9" t="s">
        <v>38</v>
      </c>
      <c r="C143" s="9" t="s">
        <v>40</v>
      </c>
      <c r="D143" s="9" t="s">
        <v>13</v>
      </c>
      <c r="E143" s="9" t="s">
        <v>14</v>
      </c>
      <c r="F143" s="9">
        <v>180.0</v>
      </c>
      <c r="G143" s="9" t="s">
        <v>59</v>
      </c>
      <c r="H143" s="9">
        <v>2023.0</v>
      </c>
      <c r="I143" s="9" t="s">
        <v>52</v>
      </c>
      <c r="J143" s="9">
        <v>40.32346343661129</v>
      </c>
      <c r="K143" s="9">
        <v>27.315991471045066</v>
      </c>
      <c r="L143" s="15">
        <v>13.871618662931683</v>
      </c>
    </row>
    <row r="144">
      <c r="A144" s="9" t="s">
        <v>24</v>
      </c>
      <c r="B144" s="9" t="s">
        <v>38</v>
      </c>
      <c r="C144" s="9" t="s">
        <v>40</v>
      </c>
      <c r="D144" s="9" t="s">
        <v>13</v>
      </c>
      <c r="E144" s="9" t="s">
        <v>14</v>
      </c>
      <c r="F144" s="9">
        <v>180.0</v>
      </c>
      <c r="G144" s="9" t="s">
        <v>59</v>
      </c>
      <c r="H144" s="9">
        <v>2023.0</v>
      </c>
      <c r="I144" s="9" t="s">
        <v>53</v>
      </c>
      <c r="J144" s="9">
        <v>32.749556628477556</v>
      </c>
      <c r="K144" s="9">
        <v>22.984656423449664</v>
      </c>
      <c r="L144" s="15">
        <v>11.672078216255162</v>
      </c>
    </row>
    <row r="145">
      <c r="A145" s="9" t="s">
        <v>24</v>
      </c>
      <c r="B145" s="9" t="s">
        <v>38</v>
      </c>
      <c r="C145" s="9" t="s">
        <v>40</v>
      </c>
      <c r="D145" s="9" t="s">
        <v>13</v>
      </c>
      <c r="E145" s="9" t="s">
        <v>14</v>
      </c>
      <c r="F145" s="9">
        <v>180.0</v>
      </c>
      <c r="G145" s="9" t="s">
        <v>59</v>
      </c>
      <c r="H145" s="9">
        <v>2023.0</v>
      </c>
      <c r="I145" s="9" t="s">
        <v>54</v>
      </c>
      <c r="J145" s="9">
        <v>27.638117948368393</v>
      </c>
      <c r="K145" s="9">
        <v>16.72043033344754</v>
      </c>
      <c r="L145" s="15">
        <v>8.490976200206957</v>
      </c>
    </row>
    <row r="146">
      <c r="A146" s="9" t="s">
        <v>25</v>
      </c>
      <c r="B146" s="9" t="s">
        <v>38</v>
      </c>
      <c r="C146" s="9" t="s">
        <v>40</v>
      </c>
      <c r="D146" s="9" t="s">
        <v>13</v>
      </c>
      <c r="E146" s="9" t="s">
        <v>14</v>
      </c>
      <c r="F146" s="9">
        <v>180.0</v>
      </c>
      <c r="G146" s="9" t="s">
        <v>59</v>
      </c>
      <c r="H146" s="9">
        <v>2022.0</v>
      </c>
      <c r="I146" s="9" t="s">
        <v>51</v>
      </c>
      <c r="J146" s="9">
        <v>37.53681783952807</v>
      </c>
      <c r="K146" s="9">
        <v>27.604426590289386</v>
      </c>
      <c r="L146" s="15">
        <v>14.018091910567431</v>
      </c>
    </row>
    <row r="147">
      <c r="A147" s="9" t="s">
        <v>25</v>
      </c>
      <c r="B147" s="9" t="s">
        <v>38</v>
      </c>
      <c r="C147" s="9" t="s">
        <v>40</v>
      </c>
      <c r="D147" s="9" t="s">
        <v>13</v>
      </c>
      <c r="E147" s="9" t="s">
        <v>14</v>
      </c>
      <c r="F147" s="9">
        <v>180.0</v>
      </c>
      <c r="G147" s="9" t="s">
        <v>59</v>
      </c>
      <c r="H147" s="9">
        <v>2022.0</v>
      </c>
      <c r="I147" s="9" t="s">
        <v>52</v>
      </c>
      <c r="J147" s="9">
        <v>41.750190381319335</v>
      </c>
      <c r="K147" s="9">
        <v>26.885831149342376</v>
      </c>
      <c r="L147" s="15">
        <v>13.653174461376384</v>
      </c>
    </row>
    <row r="148">
      <c r="A148" s="9" t="s">
        <v>25</v>
      </c>
      <c r="B148" s="9" t="s">
        <v>38</v>
      </c>
      <c r="C148" s="9" t="s">
        <v>40</v>
      </c>
      <c r="D148" s="9" t="s">
        <v>13</v>
      </c>
      <c r="E148" s="9" t="s">
        <v>14</v>
      </c>
      <c r="F148" s="9">
        <v>180.0</v>
      </c>
      <c r="G148" s="9" t="s">
        <v>59</v>
      </c>
      <c r="H148" s="9">
        <v>2022.0</v>
      </c>
      <c r="I148" s="9" t="s">
        <v>53</v>
      </c>
      <c r="J148" s="9">
        <v>44.09102368982577</v>
      </c>
      <c r="K148" s="9">
        <v>27.557959519619864</v>
      </c>
      <c r="L148" s="15">
        <v>13.994494982541065</v>
      </c>
    </row>
    <row r="149">
      <c r="A149" s="9" t="s">
        <v>25</v>
      </c>
      <c r="B149" s="9" t="s">
        <v>38</v>
      </c>
      <c r="C149" s="9" t="s">
        <v>40</v>
      </c>
      <c r="D149" s="9" t="s">
        <v>13</v>
      </c>
      <c r="E149" s="9" t="s">
        <v>14</v>
      </c>
      <c r="F149" s="9">
        <v>180.0</v>
      </c>
      <c r="G149" s="9" t="s">
        <v>59</v>
      </c>
      <c r="H149" s="9">
        <v>2022.0</v>
      </c>
      <c r="I149" s="9" t="s">
        <v>54</v>
      </c>
      <c r="J149" s="9">
        <v>36.28346942277673</v>
      </c>
      <c r="K149" s="9">
        <v>26.02347785364491</v>
      </c>
      <c r="L149" s="15">
        <v>13.21525383589524</v>
      </c>
    </row>
    <row r="150">
      <c r="A150" s="9" t="s">
        <v>25</v>
      </c>
      <c r="B150" s="9" t="s">
        <v>38</v>
      </c>
      <c r="C150" s="9" t="s">
        <v>40</v>
      </c>
      <c r="D150" s="9" t="s">
        <v>13</v>
      </c>
      <c r="E150" s="9" t="s">
        <v>14</v>
      </c>
      <c r="F150" s="9">
        <v>180.0</v>
      </c>
      <c r="G150" s="9" t="s">
        <v>59</v>
      </c>
      <c r="H150" s="9">
        <v>2023.0</v>
      </c>
      <c r="I150" s="9" t="s">
        <v>51</v>
      </c>
      <c r="J150" s="9">
        <v>35.02371767181777</v>
      </c>
      <c r="K150" s="9">
        <v>23.367244649214104</v>
      </c>
      <c r="L150" s="15">
        <v>11.866364335371777</v>
      </c>
    </row>
    <row r="151">
      <c r="A151" s="9" t="s">
        <v>25</v>
      </c>
      <c r="B151" s="9" t="s">
        <v>38</v>
      </c>
      <c r="C151" s="9" t="s">
        <v>40</v>
      </c>
      <c r="D151" s="9" t="s">
        <v>13</v>
      </c>
      <c r="E151" s="9" t="s">
        <v>14</v>
      </c>
      <c r="F151" s="9">
        <v>180.0</v>
      </c>
      <c r="G151" s="9" t="s">
        <v>59</v>
      </c>
      <c r="H151" s="9">
        <v>2023.0</v>
      </c>
      <c r="I151" s="9" t="s">
        <v>52</v>
      </c>
      <c r="J151" s="9">
        <v>26.50432728160524</v>
      </c>
      <c r="K151" s="9">
        <v>16.170189877599697</v>
      </c>
      <c r="L151" s="15">
        <v>8.21155285273192</v>
      </c>
    </row>
    <row r="152">
      <c r="A152" s="9" t="s">
        <v>25</v>
      </c>
      <c r="B152" s="9" t="s">
        <v>38</v>
      </c>
      <c r="C152" s="9" t="s">
        <v>40</v>
      </c>
      <c r="D152" s="9" t="s">
        <v>13</v>
      </c>
      <c r="E152" s="9" t="s">
        <v>14</v>
      </c>
      <c r="F152" s="9">
        <v>180.0</v>
      </c>
      <c r="G152" s="9" t="s">
        <v>59</v>
      </c>
      <c r="H152" s="9">
        <v>2023.0</v>
      </c>
      <c r="I152" s="9" t="s">
        <v>53</v>
      </c>
      <c r="J152" s="9">
        <v>24.47938726717609</v>
      </c>
      <c r="K152" s="9">
        <v>16.296870176403612</v>
      </c>
      <c r="L152" s="15">
        <v>8.275883697137727</v>
      </c>
    </row>
    <row r="153">
      <c r="A153" s="9" t="s">
        <v>25</v>
      </c>
      <c r="B153" s="9" t="s">
        <v>38</v>
      </c>
      <c r="C153" s="9" t="s">
        <v>40</v>
      </c>
      <c r="D153" s="9" t="s">
        <v>13</v>
      </c>
      <c r="E153" s="9" t="s">
        <v>14</v>
      </c>
      <c r="F153" s="9">
        <v>180.0</v>
      </c>
      <c r="G153" s="9" t="s">
        <v>59</v>
      </c>
      <c r="H153" s="9">
        <v>2023.0</v>
      </c>
      <c r="I153" s="9" t="s">
        <v>54</v>
      </c>
      <c r="J153" s="9">
        <v>24.110300639099638</v>
      </c>
      <c r="K153" s="9">
        <v>14.555932788764277</v>
      </c>
      <c r="L153" s="15">
        <v>7.391800116171175</v>
      </c>
    </row>
    <row r="154">
      <c r="A154" s="9" t="s">
        <v>26</v>
      </c>
      <c r="B154" s="9" t="s">
        <v>38</v>
      </c>
      <c r="C154" s="9" t="s">
        <v>40</v>
      </c>
      <c r="D154" s="9" t="s">
        <v>13</v>
      </c>
      <c r="E154" s="9" t="s">
        <v>14</v>
      </c>
      <c r="F154" s="9">
        <v>180.0</v>
      </c>
      <c r="G154" s="9" t="s">
        <v>59</v>
      </c>
      <c r="H154" s="9">
        <v>2022.0</v>
      </c>
      <c r="I154" s="9" t="s">
        <v>51</v>
      </c>
      <c r="J154" s="9">
        <v>147.33276775739583</v>
      </c>
      <c r="K154" s="9">
        <v>106.4755219096069</v>
      </c>
      <c r="L154" s="15">
        <v>54.070445820438195</v>
      </c>
    </row>
    <row r="155">
      <c r="A155" s="9" t="s">
        <v>26</v>
      </c>
      <c r="B155" s="9" t="s">
        <v>38</v>
      </c>
      <c r="C155" s="9" t="s">
        <v>40</v>
      </c>
      <c r="D155" s="9" t="s">
        <v>13</v>
      </c>
      <c r="E155" s="9" t="s">
        <v>14</v>
      </c>
      <c r="F155" s="9">
        <v>180.0</v>
      </c>
      <c r="G155" s="9" t="s">
        <v>59</v>
      </c>
      <c r="H155" s="9">
        <v>2022.0</v>
      </c>
      <c r="I155" s="9" t="s">
        <v>52</v>
      </c>
      <c r="J155" s="9">
        <v>138.96237487816438</v>
      </c>
      <c r="K155" s="9">
        <v>87.85370357657814</v>
      </c>
      <c r="L155" s="15">
        <v>44.613905939761395</v>
      </c>
    </row>
    <row r="156">
      <c r="A156" s="9" t="s">
        <v>26</v>
      </c>
      <c r="B156" s="9" t="s">
        <v>38</v>
      </c>
      <c r="C156" s="9" t="s">
        <v>40</v>
      </c>
      <c r="D156" s="9" t="s">
        <v>13</v>
      </c>
      <c r="E156" s="9" t="s">
        <v>14</v>
      </c>
      <c r="F156" s="9">
        <v>180.0</v>
      </c>
      <c r="G156" s="9" t="s">
        <v>59</v>
      </c>
      <c r="H156" s="9">
        <v>2022.0</v>
      </c>
      <c r="I156" s="9" t="s">
        <v>53</v>
      </c>
      <c r="J156" s="9">
        <v>138.89861534341992</v>
      </c>
      <c r="K156" s="9">
        <v>89.40685244418052</v>
      </c>
      <c r="L156" s="15">
        <v>45.40262667285218</v>
      </c>
    </row>
    <row r="157">
      <c r="A157" s="9" t="s">
        <v>26</v>
      </c>
      <c r="B157" s="9" t="s">
        <v>38</v>
      </c>
      <c r="C157" s="9" t="s">
        <v>40</v>
      </c>
      <c r="D157" s="9" t="s">
        <v>13</v>
      </c>
      <c r="E157" s="9" t="s">
        <v>14</v>
      </c>
      <c r="F157" s="9">
        <v>180.0</v>
      </c>
      <c r="G157" s="9" t="s">
        <v>59</v>
      </c>
      <c r="H157" s="9">
        <v>2022.0</v>
      </c>
      <c r="I157" s="9" t="s">
        <v>54</v>
      </c>
      <c r="J157" s="9">
        <v>133.4383329765529</v>
      </c>
      <c r="K157" s="9">
        <v>88.87721870534696</v>
      </c>
      <c r="L157" s="15">
        <v>45.13366783736897</v>
      </c>
    </row>
    <row r="158">
      <c r="A158" s="9" t="s">
        <v>26</v>
      </c>
      <c r="B158" s="9" t="s">
        <v>38</v>
      </c>
      <c r="C158" s="9" t="s">
        <v>40</v>
      </c>
      <c r="D158" s="9" t="s">
        <v>13</v>
      </c>
      <c r="E158" s="9" t="s">
        <v>14</v>
      </c>
      <c r="F158" s="9">
        <v>180.0</v>
      </c>
      <c r="G158" s="9" t="s">
        <v>59</v>
      </c>
      <c r="H158" s="9">
        <v>2023.0</v>
      </c>
      <c r="I158" s="9" t="s">
        <v>51</v>
      </c>
      <c r="J158" s="9">
        <v>131.71594692975972</v>
      </c>
      <c r="K158" s="9">
        <v>83.53269416863783</v>
      </c>
      <c r="L158" s="15">
        <v>42.41960906390302</v>
      </c>
    </row>
    <row r="159">
      <c r="A159" s="9" t="s">
        <v>26</v>
      </c>
      <c r="B159" s="9" t="s">
        <v>38</v>
      </c>
      <c r="C159" s="9" t="s">
        <v>40</v>
      </c>
      <c r="D159" s="9" t="s">
        <v>13</v>
      </c>
      <c r="E159" s="9" t="s">
        <v>14</v>
      </c>
      <c r="F159" s="9">
        <v>180.0</v>
      </c>
      <c r="G159" s="9" t="s">
        <v>59</v>
      </c>
      <c r="H159" s="9">
        <v>2023.0</v>
      </c>
      <c r="I159" s="9" t="s">
        <v>52</v>
      </c>
      <c r="J159" s="9">
        <v>132.40003602863425</v>
      </c>
      <c r="K159" s="9">
        <v>93.01761991787791</v>
      </c>
      <c r="L159" s="15">
        <v>47.2362481809252</v>
      </c>
    </row>
    <row r="160">
      <c r="A160" s="9" t="s">
        <v>26</v>
      </c>
      <c r="B160" s="9" t="s">
        <v>38</v>
      </c>
      <c r="C160" s="9" t="s">
        <v>40</v>
      </c>
      <c r="D160" s="9" t="s">
        <v>13</v>
      </c>
      <c r="E160" s="9" t="s">
        <v>14</v>
      </c>
      <c r="F160" s="9">
        <v>180.0</v>
      </c>
      <c r="G160" s="9" t="s">
        <v>59</v>
      </c>
      <c r="H160" s="9">
        <v>2023.0</v>
      </c>
      <c r="I160" s="9" t="s">
        <v>53</v>
      </c>
      <c r="J160" s="9">
        <v>120.490355723686</v>
      </c>
      <c r="K160" s="9">
        <v>83.37227228642271</v>
      </c>
      <c r="L160" s="15">
        <v>42.33814355394207</v>
      </c>
    </row>
    <row r="161">
      <c r="A161" s="9" t="s">
        <v>26</v>
      </c>
      <c r="B161" s="9" t="s">
        <v>38</v>
      </c>
      <c r="C161" s="9" t="s">
        <v>40</v>
      </c>
      <c r="D161" s="9" t="s">
        <v>13</v>
      </c>
      <c r="E161" s="9" t="s">
        <v>14</v>
      </c>
      <c r="F161" s="9">
        <v>180.0</v>
      </c>
      <c r="G161" s="9" t="s">
        <v>59</v>
      </c>
      <c r="H161" s="9">
        <v>2023.0</v>
      </c>
      <c r="I161" s="9" t="s">
        <v>54</v>
      </c>
      <c r="J161" s="9">
        <v>113.81292421027752</v>
      </c>
      <c r="K161" s="9">
        <v>84.85750621366896</v>
      </c>
      <c r="L161" s="15">
        <v>43.09237569249896</v>
      </c>
    </row>
    <row r="162">
      <c r="A162" s="9" t="s">
        <v>10</v>
      </c>
      <c r="B162" s="9" t="s">
        <v>38</v>
      </c>
      <c r="C162" s="9" t="s">
        <v>40</v>
      </c>
      <c r="D162" s="9" t="s">
        <v>13</v>
      </c>
      <c r="E162" s="9" t="s">
        <v>29</v>
      </c>
      <c r="F162" s="9">
        <v>220.0</v>
      </c>
      <c r="G162" s="9" t="s">
        <v>60</v>
      </c>
      <c r="H162" s="9">
        <v>2022.0</v>
      </c>
      <c r="I162" s="9" t="s">
        <v>51</v>
      </c>
      <c r="J162" s="9">
        <v>12.987083494145558</v>
      </c>
      <c r="K162" s="16">
        <v>8.65805566276371</v>
      </c>
      <c r="L162" s="15">
        <v>3.38416809832853</v>
      </c>
    </row>
    <row r="163">
      <c r="A163" s="9" t="s">
        <v>10</v>
      </c>
      <c r="B163" s="9" t="s">
        <v>38</v>
      </c>
      <c r="C163" s="9" t="s">
        <v>40</v>
      </c>
      <c r="D163" s="9" t="s">
        <v>13</v>
      </c>
      <c r="E163" s="9" t="s">
        <v>29</v>
      </c>
      <c r="F163" s="9">
        <v>220.0</v>
      </c>
      <c r="G163" s="9" t="s">
        <v>60</v>
      </c>
      <c r="H163" s="9">
        <v>2022.0</v>
      </c>
      <c r="I163" s="9" t="s">
        <v>52</v>
      </c>
      <c r="J163" s="9">
        <v>19.910984161176714</v>
      </c>
      <c r="K163" s="16">
        <v>13.273989440784476</v>
      </c>
      <c r="L163" s="15">
        <v>5.1883948721015</v>
      </c>
    </row>
    <row r="164">
      <c r="A164" s="9" t="s">
        <v>10</v>
      </c>
      <c r="B164" s="9" t="s">
        <v>38</v>
      </c>
      <c r="C164" s="9" t="s">
        <v>40</v>
      </c>
      <c r="D164" s="9" t="s">
        <v>13</v>
      </c>
      <c r="E164" s="9" t="s">
        <v>29</v>
      </c>
      <c r="F164" s="9">
        <v>220.0</v>
      </c>
      <c r="G164" s="9" t="s">
        <v>60</v>
      </c>
      <c r="H164" s="9">
        <v>2022.0</v>
      </c>
      <c r="I164" s="9" t="s">
        <v>53</v>
      </c>
      <c r="J164" s="9">
        <v>18.17754818790435</v>
      </c>
      <c r="K164" s="16">
        <v>12.118365458602891</v>
      </c>
      <c r="L164" s="15">
        <v>4.73669694285604</v>
      </c>
    </row>
    <row r="165">
      <c r="A165" s="9" t="s">
        <v>10</v>
      </c>
      <c r="B165" s="9" t="s">
        <v>38</v>
      </c>
      <c r="C165" s="9" t="s">
        <v>40</v>
      </c>
      <c r="D165" s="9" t="s">
        <v>13</v>
      </c>
      <c r="E165" s="9" t="s">
        <v>29</v>
      </c>
      <c r="F165" s="9">
        <v>220.0</v>
      </c>
      <c r="G165" s="9" t="s">
        <v>60</v>
      </c>
      <c r="H165" s="9">
        <v>2022.0</v>
      </c>
      <c r="I165" s="9" t="s">
        <v>54</v>
      </c>
      <c r="J165" s="9">
        <v>19.288072280842925</v>
      </c>
      <c r="K165" s="16">
        <v>12.85871485389529</v>
      </c>
      <c r="L165" s="15">
        <v>5.02607678779522</v>
      </c>
    </row>
    <row r="166">
      <c r="A166" s="9" t="s">
        <v>10</v>
      </c>
      <c r="B166" s="9" t="s">
        <v>38</v>
      </c>
      <c r="C166" s="9" t="s">
        <v>40</v>
      </c>
      <c r="D166" s="9" t="s">
        <v>13</v>
      </c>
      <c r="E166" s="9" t="s">
        <v>29</v>
      </c>
      <c r="F166" s="9">
        <v>220.0</v>
      </c>
      <c r="G166" s="9" t="s">
        <v>60</v>
      </c>
      <c r="H166" s="9">
        <v>2023.0</v>
      </c>
      <c r="I166" s="9" t="s">
        <v>51</v>
      </c>
      <c r="J166" s="9">
        <v>24.75185471031557</v>
      </c>
      <c r="K166" s="16">
        <v>16.501236473543717</v>
      </c>
      <c r="L166" s="15">
        <v>6.44982663912747</v>
      </c>
    </row>
    <row r="167">
      <c r="A167" s="9" t="s">
        <v>10</v>
      </c>
      <c r="B167" s="9" t="s">
        <v>38</v>
      </c>
      <c r="C167" s="9" t="s">
        <v>40</v>
      </c>
      <c r="D167" s="9" t="s">
        <v>13</v>
      </c>
      <c r="E167" s="9" t="s">
        <v>29</v>
      </c>
      <c r="F167" s="9">
        <v>220.0</v>
      </c>
      <c r="G167" s="9" t="s">
        <v>60</v>
      </c>
      <c r="H167" s="9">
        <v>2023.0</v>
      </c>
      <c r="I167" s="9" t="s">
        <v>52</v>
      </c>
      <c r="J167" s="9">
        <v>30.541711065593887</v>
      </c>
      <c r="K167" s="16">
        <v>20.361140710395915</v>
      </c>
      <c r="L167" s="15">
        <v>7.95854468042367</v>
      </c>
    </row>
    <row r="168">
      <c r="A168" s="9" t="s">
        <v>10</v>
      </c>
      <c r="B168" s="9" t="s">
        <v>38</v>
      </c>
      <c r="C168" s="9" t="s">
        <v>40</v>
      </c>
      <c r="D168" s="9" t="s">
        <v>13</v>
      </c>
      <c r="E168" s="9" t="s">
        <v>29</v>
      </c>
      <c r="F168" s="9">
        <v>220.0</v>
      </c>
      <c r="G168" s="9" t="s">
        <v>60</v>
      </c>
      <c r="H168" s="9">
        <v>2023.0</v>
      </c>
      <c r="I168" s="9" t="s">
        <v>53</v>
      </c>
      <c r="J168" s="9">
        <v>28.559470091518236</v>
      </c>
      <c r="K168" s="16">
        <v>19.039646727678807</v>
      </c>
      <c r="L168" s="15">
        <v>7.44201326128784</v>
      </c>
    </row>
    <row r="169">
      <c r="A169" s="9" t="s">
        <v>10</v>
      </c>
      <c r="B169" s="9" t="s">
        <v>38</v>
      </c>
      <c r="C169" s="9" t="s">
        <v>40</v>
      </c>
      <c r="D169" s="9" t="s">
        <v>13</v>
      </c>
      <c r="E169" s="9" t="s">
        <v>29</v>
      </c>
      <c r="F169" s="9">
        <v>220.0</v>
      </c>
      <c r="G169" s="9" t="s">
        <v>60</v>
      </c>
      <c r="H169" s="9">
        <v>2023.0</v>
      </c>
      <c r="I169" s="9" t="s">
        <v>54</v>
      </c>
      <c r="J169" s="9">
        <v>26.041887094937778</v>
      </c>
      <c r="K169" s="16">
        <v>17.361258063291853</v>
      </c>
      <c r="L169" s="15">
        <v>6.78598267014222</v>
      </c>
    </row>
    <row r="170">
      <c r="A170" s="9" t="s">
        <v>24</v>
      </c>
      <c r="B170" s="9" t="s">
        <v>38</v>
      </c>
      <c r="C170" s="9" t="s">
        <v>40</v>
      </c>
      <c r="D170" s="9" t="s">
        <v>13</v>
      </c>
      <c r="E170" s="9" t="s">
        <v>29</v>
      </c>
      <c r="F170" s="9">
        <v>220.0</v>
      </c>
      <c r="G170" s="9" t="s">
        <v>60</v>
      </c>
      <c r="H170" s="9">
        <v>2022.0</v>
      </c>
      <c r="I170" s="9" t="s">
        <v>51</v>
      </c>
      <c r="J170" s="9">
        <v>0.4886400445194601</v>
      </c>
      <c r="K170" s="16">
        <v>0.3257600296796464</v>
      </c>
      <c r="L170" s="15">
        <v>0.12732959258898</v>
      </c>
    </row>
    <row r="171">
      <c r="A171" s="9" t="s">
        <v>24</v>
      </c>
      <c r="B171" s="9" t="s">
        <v>38</v>
      </c>
      <c r="C171" s="9" t="s">
        <v>40</v>
      </c>
      <c r="D171" s="9" t="s">
        <v>13</v>
      </c>
      <c r="E171" s="9" t="s">
        <v>29</v>
      </c>
      <c r="F171" s="9">
        <v>220.0</v>
      </c>
      <c r="G171" s="9" t="s">
        <v>60</v>
      </c>
      <c r="H171" s="9">
        <v>2022.0</v>
      </c>
      <c r="I171" s="9" t="s">
        <v>52</v>
      </c>
      <c r="J171" s="9">
        <v>1.6449703115120164</v>
      </c>
      <c r="K171" s="16">
        <v>1.0966468743413527</v>
      </c>
      <c r="L171" s="15">
        <v>0.42864558878258</v>
      </c>
    </row>
    <row r="172">
      <c r="A172" s="9" t="s">
        <v>24</v>
      </c>
      <c r="B172" s="9" t="s">
        <v>38</v>
      </c>
      <c r="C172" s="9" t="s">
        <v>40</v>
      </c>
      <c r="D172" s="9" t="s">
        <v>13</v>
      </c>
      <c r="E172" s="9" t="s">
        <v>29</v>
      </c>
      <c r="F172" s="9">
        <v>220.0</v>
      </c>
      <c r="G172" s="9" t="s">
        <v>60</v>
      </c>
      <c r="H172" s="9">
        <v>2022.0</v>
      </c>
      <c r="I172" s="9" t="s">
        <v>53</v>
      </c>
      <c r="J172" s="9">
        <v>2.3570345473144507</v>
      </c>
      <c r="K172" s="16">
        <v>1.5713563648763091</v>
      </c>
      <c r="L172" s="15">
        <v>0.61419495187473</v>
      </c>
    </row>
    <row r="173">
      <c r="A173" s="9" t="s">
        <v>24</v>
      </c>
      <c r="B173" s="9" t="s">
        <v>38</v>
      </c>
      <c r="C173" s="9" t="s">
        <v>40</v>
      </c>
      <c r="D173" s="9" t="s">
        <v>13</v>
      </c>
      <c r="E173" s="9" t="s">
        <v>29</v>
      </c>
      <c r="F173" s="9">
        <v>220.0</v>
      </c>
      <c r="G173" s="9" t="s">
        <v>60</v>
      </c>
      <c r="H173" s="9">
        <v>2022.0</v>
      </c>
      <c r="I173" s="9" t="s">
        <v>54</v>
      </c>
      <c r="J173" s="9">
        <v>2.207673811405275</v>
      </c>
      <c r="K173" s="16">
        <v>1.4717825409368581</v>
      </c>
      <c r="L173" s="15">
        <v>0.57527460167951</v>
      </c>
    </row>
    <row r="174">
      <c r="A174" s="9" t="s">
        <v>24</v>
      </c>
      <c r="B174" s="9" t="s">
        <v>38</v>
      </c>
      <c r="C174" s="9" t="s">
        <v>40</v>
      </c>
      <c r="D174" s="9" t="s">
        <v>13</v>
      </c>
      <c r="E174" s="9" t="s">
        <v>29</v>
      </c>
      <c r="F174" s="9">
        <v>220.0</v>
      </c>
      <c r="G174" s="9" t="s">
        <v>60</v>
      </c>
      <c r="H174" s="9">
        <v>2023.0</v>
      </c>
      <c r="I174" s="9" t="s">
        <v>51</v>
      </c>
      <c r="J174" s="9">
        <v>2.059393322019641</v>
      </c>
      <c r="K174" s="16">
        <v>1.3729288813464344</v>
      </c>
      <c r="L174" s="15">
        <v>0.53663574161446</v>
      </c>
    </row>
    <row r="175">
      <c r="A175" s="9" t="s">
        <v>24</v>
      </c>
      <c r="B175" s="9" t="s">
        <v>38</v>
      </c>
      <c r="C175" s="9" t="s">
        <v>40</v>
      </c>
      <c r="D175" s="9" t="s">
        <v>13</v>
      </c>
      <c r="E175" s="9" t="s">
        <v>29</v>
      </c>
      <c r="F175" s="9">
        <v>220.0</v>
      </c>
      <c r="G175" s="9" t="s">
        <v>60</v>
      </c>
      <c r="H175" s="9">
        <v>2023.0</v>
      </c>
      <c r="I175" s="9" t="s">
        <v>52</v>
      </c>
      <c r="J175" s="9">
        <v>2.0449027026814828</v>
      </c>
      <c r="K175" s="16">
        <v>1.363268468454313</v>
      </c>
      <c r="L175" s="15">
        <v>0.53285978285425</v>
      </c>
    </row>
    <row r="176">
      <c r="A176" s="9" t="s">
        <v>24</v>
      </c>
      <c r="B176" s="9" t="s">
        <v>38</v>
      </c>
      <c r="C176" s="9" t="s">
        <v>40</v>
      </c>
      <c r="D176" s="9" t="s">
        <v>13</v>
      </c>
      <c r="E176" s="9" t="s">
        <v>29</v>
      </c>
      <c r="F176" s="9">
        <v>220.0</v>
      </c>
      <c r="G176" s="9" t="s">
        <v>60</v>
      </c>
      <c r="H176" s="9">
        <v>2023.0</v>
      </c>
      <c r="I176" s="9" t="s">
        <v>53</v>
      </c>
      <c r="J176" s="9">
        <v>3.4102743749022646</v>
      </c>
      <c r="K176" s="16">
        <v>2.2735162499348465</v>
      </c>
      <c r="L176" s="15">
        <v>0.88864768993701</v>
      </c>
    </row>
    <row r="177">
      <c r="A177" s="9" t="s">
        <v>24</v>
      </c>
      <c r="B177" s="9" t="s">
        <v>38</v>
      </c>
      <c r="C177" s="9" t="s">
        <v>40</v>
      </c>
      <c r="D177" s="9" t="s">
        <v>13</v>
      </c>
      <c r="E177" s="9" t="s">
        <v>29</v>
      </c>
      <c r="F177" s="9">
        <v>220.0</v>
      </c>
      <c r="G177" s="9" t="s">
        <v>60</v>
      </c>
      <c r="H177" s="9">
        <v>2023.0</v>
      </c>
      <c r="I177" s="9" t="s">
        <v>54</v>
      </c>
      <c r="J177" s="9">
        <v>1.7345298974249757</v>
      </c>
      <c r="K177" s="16">
        <v>1.156353264949994</v>
      </c>
      <c r="L177" s="15">
        <v>0.45198298348577</v>
      </c>
    </row>
    <row r="178">
      <c r="A178" s="9" t="s">
        <v>25</v>
      </c>
      <c r="B178" s="9" t="s">
        <v>38</v>
      </c>
      <c r="C178" s="9" t="s">
        <v>40</v>
      </c>
      <c r="D178" s="9" t="s">
        <v>13</v>
      </c>
      <c r="E178" s="9" t="s">
        <v>29</v>
      </c>
      <c r="F178" s="9">
        <v>220.0</v>
      </c>
      <c r="G178" s="9" t="s">
        <v>60</v>
      </c>
      <c r="H178" s="9">
        <v>2022.0</v>
      </c>
      <c r="I178" s="9" t="s">
        <v>51</v>
      </c>
      <c r="J178" s="9">
        <v>6.567908190858635</v>
      </c>
      <c r="K178" s="16">
        <v>4.3786054605724125</v>
      </c>
      <c r="L178" s="15">
        <v>1.71146242204988</v>
      </c>
    </row>
    <row r="179">
      <c r="A179" s="9" t="s">
        <v>25</v>
      </c>
      <c r="B179" s="9" t="s">
        <v>38</v>
      </c>
      <c r="C179" s="9" t="s">
        <v>40</v>
      </c>
      <c r="D179" s="9" t="s">
        <v>13</v>
      </c>
      <c r="E179" s="9" t="s">
        <v>29</v>
      </c>
      <c r="F179" s="9">
        <v>220.0</v>
      </c>
      <c r="G179" s="9" t="s">
        <v>60</v>
      </c>
      <c r="H179" s="9">
        <v>2022.0</v>
      </c>
      <c r="I179" s="9" t="s">
        <v>52</v>
      </c>
      <c r="J179" s="9">
        <v>8.79893509153541</v>
      </c>
      <c r="K179" s="16">
        <v>5.865956727690276</v>
      </c>
      <c r="L179" s="15">
        <v>2.29282236072947</v>
      </c>
    </row>
    <row r="180">
      <c r="A180" s="9" t="s">
        <v>25</v>
      </c>
      <c r="B180" s="9" t="s">
        <v>38</v>
      </c>
      <c r="C180" s="9" t="s">
        <v>40</v>
      </c>
      <c r="D180" s="9" t="s">
        <v>13</v>
      </c>
      <c r="E180" s="9" t="s">
        <v>29</v>
      </c>
      <c r="F180" s="9">
        <v>220.0</v>
      </c>
      <c r="G180" s="9" t="s">
        <v>60</v>
      </c>
      <c r="H180" s="9">
        <v>2022.0</v>
      </c>
      <c r="I180" s="9" t="s">
        <v>53</v>
      </c>
      <c r="J180" s="9">
        <v>8.01890917056193</v>
      </c>
      <c r="K180" s="16">
        <v>5.345939447041296</v>
      </c>
      <c r="L180" s="15">
        <v>2.08956357373409</v>
      </c>
    </row>
    <row r="181">
      <c r="A181" s="9" t="s">
        <v>25</v>
      </c>
      <c r="B181" s="9" t="s">
        <v>38</v>
      </c>
      <c r="C181" s="9" t="s">
        <v>40</v>
      </c>
      <c r="D181" s="9" t="s">
        <v>13</v>
      </c>
      <c r="E181" s="9" t="s">
        <v>29</v>
      </c>
      <c r="F181" s="9">
        <v>220.0</v>
      </c>
      <c r="G181" s="9" t="s">
        <v>60</v>
      </c>
      <c r="H181" s="9">
        <v>2022.0</v>
      </c>
      <c r="I181" s="9" t="s">
        <v>54</v>
      </c>
      <c r="J181" s="9">
        <v>8.940811031588707</v>
      </c>
      <c r="K181" s="16">
        <v>5.960540687725806</v>
      </c>
      <c r="L181" s="15">
        <v>2.32979232634686</v>
      </c>
    </row>
    <row r="182">
      <c r="A182" s="9" t="s">
        <v>25</v>
      </c>
      <c r="B182" s="9" t="s">
        <v>38</v>
      </c>
      <c r="C182" s="9" t="s">
        <v>40</v>
      </c>
      <c r="D182" s="9" t="s">
        <v>13</v>
      </c>
      <c r="E182" s="9" t="s">
        <v>29</v>
      </c>
      <c r="F182" s="9">
        <v>220.0</v>
      </c>
      <c r="G182" s="9" t="s">
        <v>60</v>
      </c>
      <c r="H182" s="9">
        <v>2023.0</v>
      </c>
      <c r="I182" s="9" t="s">
        <v>51</v>
      </c>
      <c r="J182" s="9">
        <v>10.361899744402107</v>
      </c>
      <c r="K182" s="16">
        <v>6.9079331629347305</v>
      </c>
      <c r="L182" s="15">
        <v>2.70009895361739</v>
      </c>
    </row>
    <row r="183">
      <c r="A183" s="9" t="s">
        <v>25</v>
      </c>
      <c r="B183" s="9" t="s">
        <v>38</v>
      </c>
      <c r="C183" s="9" t="s">
        <v>40</v>
      </c>
      <c r="D183" s="9" t="s">
        <v>13</v>
      </c>
      <c r="E183" s="9" t="s">
        <v>29</v>
      </c>
      <c r="F183" s="9">
        <v>220.0</v>
      </c>
      <c r="G183" s="9" t="s">
        <v>60</v>
      </c>
      <c r="H183" s="9">
        <v>2023.0</v>
      </c>
      <c r="I183" s="9" t="s">
        <v>52</v>
      </c>
      <c r="J183" s="9">
        <v>10.645269419825107</v>
      </c>
      <c r="K183" s="16">
        <v>7.096846279883405</v>
      </c>
      <c r="L183" s="15">
        <v>2.77393929013579</v>
      </c>
    </row>
    <row r="184">
      <c r="A184" s="9" t="s">
        <v>25</v>
      </c>
      <c r="B184" s="9" t="s">
        <v>38</v>
      </c>
      <c r="C184" s="9" t="s">
        <v>40</v>
      </c>
      <c r="D184" s="9" t="s">
        <v>13</v>
      </c>
      <c r="E184" s="9" t="s">
        <v>29</v>
      </c>
      <c r="F184" s="9">
        <v>220.0</v>
      </c>
      <c r="G184" s="9" t="s">
        <v>60</v>
      </c>
      <c r="H184" s="9">
        <v>2023.0</v>
      </c>
      <c r="I184" s="9" t="s">
        <v>53</v>
      </c>
      <c r="J184" s="9">
        <v>10.78486528052279</v>
      </c>
      <c r="K184" s="16">
        <v>7.189910187015186</v>
      </c>
      <c r="L184" s="15">
        <v>2.8103151137489</v>
      </c>
    </row>
    <row r="185">
      <c r="A185" s="9" t="s">
        <v>25</v>
      </c>
      <c r="B185" s="9" t="s">
        <v>38</v>
      </c>
      <c r="C185" s="9" t="s">
        <v>40</v>
      </c>
      <c r="D185" s="9" t="s">
        <v>13</v>
      </c>
      <c r="E185" s="9" t="s">
        <v>29</v>
      </c>
      <c r="F185" s="9">
        <v>220.0</v>
      </c>
      <c r="G185" s="9" t="s">
        <v>60</v>
      </c>
      <c r="H185" s="9">
        <v>2023.0</v>
      </c>
      <c r="I185" s="9" t="s">
        <v>54</v>
      </c>
      <c r="J185" s="9">
        <v>6.699070778579422</v>
      </c>
      <c r="K185" s="16">
        <v>4.4660471857196224</v>
      </c>
      <c r="L185" s="15">
        <v>1.74564070736383</v>
      </c>
    </row>
    <row r="186">
      <c r="A186" s="9" t="s">
        <v>26</v>
      </c>
      <c r="B186" s="9" t="s">
        <v>38</v>
      </c>
      <c r="C186" s="9" t="s">
        <v>40</v>
      </c>
      <c r="D186" s="9" t="s">
        <v>13</v>
      </c>
      <c r="E186" s="9" t="s">
        <v>29</v>
      </c>
      <c r="F186" s="9">
        <v>220.0</v>
      </c>
      <c r="G186" s="9" t="s">
        <v>60</v>
      </c>
      <c r="H186" s="9">
        <v>2022.0</v>
      </c>
      <c r="I186" s="9" t="s">
        <v>51</v>
      </c>
      <c r="J186" s="9">
        <v>46.2816343799325</v>
      </c>
      <c r="K186" s="16">
        <v>30.85442291995507</v>
      </c>
      <c r="L186" s="15">
        <v>12.0600464821588</v>
      </c>
    </row>
    <row r="187">
      <c r="A187" s="9" t="s">
        <v>26</v>
      </c>
      <c r="B187" s="9" t="s">
        <v>38</v>
      </c>
      <c r="C187" s="9" t="s">
        <v>40</v>
      </c>
      <c r="D187" s="9" t="s">
        <v>13</v>
      </c>
      <c r="E187" s="9" t="s">
        <v>29</v>
      </c>
      <c r="F187" s="9">
        <v>220.0</v>
      </c>
      <c r="G187" s="9" t="s">
        <v>60</v>
      </c>
      <c r="H187" s="9">
        <v>2022.0</v>
      </c>
      <c r="I187" s="9" t="s">
        <v>52</v>
      </c>
      <c r="J187" s="9">
        <v>63.385983111183165</v>
      </c>
      <c r="K187" s="16">
        <v>42.25732207412215</v>
      </c>
      <c r="L187" s="15">
        <v>16.5170896162141</v>
      </c>
    </row>
    <row r="188">
      <c r="A188" s="9" t="s">
        <v>26</v>
      </c>
      <c r="B188" s="9" t="s">
        <v>38</v>
      </c>
      <c r="C188" s="9" t="s">
        <v>40</v>
      </c>
      <c r="D188" s="9" t="s">
        <v>13</v>
      </c>
      <c r="E188" s="9" t="s">
        <v>29</v>
      </c>
      <c r="F188" s="9">
        <v>220.0</v>
      </c>
      <c r="G188" s="9" t="s">
        <v>60</v>
      </c>
      <c r="H188" s="9">
        <v>2022.0</v>
      </c>
      <c r="I188" s="9" t="s">
        <v>53</v>
      </c>
      <c r="J188" s="9">
        <v>56.974201656966656</v>
      </c>
      <c r="K188" s="16">
        <v>37.98280110464454</v>
      </c>
      <c r="L188" s="15">
        <v>14.8463106256428</v>
      </c>
    </row>
    <row r="189">
      <c r="A189" s="9" t="s">
        <v>26</v>
      </c>
      <c r="B189" s="9" t="s">
        <v>38</v>
      </c>
      <c r="C189" s="9" t="s">
        <v>40</v>
      </c>
      <c r="D189" s="9" t="s">
        <v>13</v>
      </c>
      <c r="E189" s="9" t="s">
        <v>29</v>
      </c>
      <c r="F189" s="9">
        <v>220.0</v>
      </c>
      <c r="G189" s="9" t="s">
        <v>60</v>
      </c>
      <c r="H189" s="9">
        <v>2022.0</v>
      </c>
      <c r="I189" s="9" t="s">
        <v>54</v>
      </c>
      <c r="J189" s="9">
        <v>62.77595153584816</v>
      </c>
      <c r="K189" s="16">
        <v>41.85063435723207</v>
      </c>
      <c r="L189" s="15">
        <v>16.3581278757161</v>
      </c>
    </row>
    <row r="190">
      <c r="A190" s="9" t="s">
        <v>26</v>
      </c>
      <c r="B190" s="9" t="s">
        <v>38</v>
      </c>
      <c r="C190" s="9" t="s">
        <v>40</v>
      </c>
      <c r="D190" s="9" t="s">
        <v>13</v>
      </c>
      <c r="E190" s="9" t="s">
        <v>29</v>
      </c>
      <c r="F190" s="9">
        <v>220.0</v>
      </c>
      <c r="G190" s="9" t="s">
        <v>60</v>
      </c>
      <c r="H190" s="9">
        <v>2023.0</v>
      </c>
      <c r="I190" s="9" t="s">
        <v>51</v>
      </c>
      <c r="J190" s="9">
        <v>75.95711218609922</v>
      </c>
      <c r="K190" s="16">
        <v>50.63807479073288</v>
      </c>
      <c r="L190" s="15">
        <v>19.7928685079475</v>
      </c>
    </row>
    <row r="191">
      <c r="A191" s="9" t="s">
        <v>26</v>
      </c>
      <c r="B191" s="9" t="s">
        <v>38</v>
      </c>
      <c r="C191" s="9" t="s">
        <v>40</v>
      </c>
      <c r="D191" s="9" t="s">
        <v>13</v>
      </c>
      <c r="E191" s="9" t="s">
        <v>29</v>
      </c>
      <c r="F191" s="9">
        <v>220.0</v>
      </c>
      <c r="G191" s="9" t="s">
        <v>60</v>
      </c>
      <c r="H191" s="9">
        <v>2023.0</v>
      </c>
      <c r="I191" s="9" t="s">
        <v>52</v>
      </c>
      <c r="J191" s="9">
        <v>78.63691735678388</v>
      </c>
      <c r="K191" s="16">
        <v>52.42461157118925</v>
      </c>
      <c r="L191" s="15">
        <v>20.4911708767938</v>
      </c>
    </row>
    <row r="192">
      <c r="A192" s="9" t="s">
        <v>26</v>
      </c>
      <c r="B192" s="9" t="s">
        <v>38</v>
      </c>
      <c r="C192" s="9" t="s">
        <v>40</v>
      </c>
      <c r="D192" s="9" t="s">
        <v>13</v>
      </c>
      <c r="E192" s="9" t="s">
        <v>29</v>
      </c>
      <c r="F192" s="9">
        <v>220.0</v>
      </c>
      <c r="G192" s="9" t="s">
        <v>60</v>
      </c>
      <c r="H192" s="9">
        <v>2023.0</v>
      </c>
      <c r="I192" s="9" t="s">
        <v>53</v>
      </c>
      <c r="J192" s="9">
        <v>78.00086600256466</v>
      </c>
      <c r="K192" s="16">
        <v>52.00057733504305</v>
      </c>
      <c r="L192" s="15">
        <v>20.3254289145728</v>
      </c>
    </row>
    <row r="193">
      <c r="A193" s="9" t="s">
        <v>26</v>
      </c>
      <c r="B193" s="9" t="s">
        <v>38</v>
      </c>
      <c r="C193" s="9" t="s">
        <v>40</v>
      </c>
      <c r="D193" s="9" t="s">
        <v>13</v>
      </c>
      <c r="E193" s="9" t="s">
        <v>29</v>
      </c>
      <c r="F193" s="9">
        <v>220.0</v>
      </c>
      <c r="G193" s="9" t="s">
        <v>60</v>
      </c>
      <c r="H193" s="9">
        <v>2023.0</v>
      </c>
      <c r="I193" s="9" t="s">
        <v>54</v>
      </c>
      <c r="J193" s="9">
        <v>73.26973252514576</v>
      </c>
      <c r="K193" s="16">
        <v>48.84648835009729</v>
      </c>
      <c r="L193" s="15">
        <v>19.0925923819955</v>
      </c>
    </row>
    <row r="194">
      <c r="A194" s="19" t="s">
        <v>10</v>
      </c>
      <c r="B194" s="19" t="s">
        <v>38</v>
      </c>
      <c r="C194" s="20" t="s">
        <v>39</v>
      </c>
      <c r="D194" s="20" t="s">
        <v>13</v>
      </c>
      <c r="E194" s="19" t="s">
        <v>14</v>
      </c>
      <c r="F194" s="21">
        <v>110.0</v>
      </c>
      <c r="G194" s="19" t="s">
        <v>55</v>
      </c>
      <c r="H194" s="18">
        <v>2024.0</v>
      </c>
      <c r="I194" s="20" t="s">
        <v>51</v>
      </c>
      <c r="J194" s="21">
        <v>6.580334148</v>
      </c>
      <c r="K194" s="22"/>
      <c r="L194" s="21">
        <v>4.027849688</v>
      </c>
      <c r="M194" s="22"/>
      <c r="N194" s="18">
        <v>1.6337089657552286</v>
      </c>
      <c r="O194" s="18">
        <v>0.0</v>
      </c>
    </row>
    <row r="195">
      <c r="A195" s="19" t="s">
        <v>10</v>
      </c>
      <c r="B195" s="19" t="s">
        <v>38</v>
      </c>
      <c r="C195" s="20" t="s">
        <v>39</v>
      </c>
      <c r="D195" s="20" t="s">
        <v>13</v>
      </c>
      <c r="E195" s="19" t="s">
        <v>14</v>
      </c>
      <c r="F195" s="21">
        <v>110.0</v>
      </c>
      <c r="G195" s="19" t="s">
        <v>55</v>
      </c>
      <c r="H195" s="18">
        <v>2024.0</v>
      </c>
      <c r="I195" s="20" t="s">
        <v>52</v>
      </c>
      <c r="J195" s="21">
        <v>6.69001691</v>
      </c>
      <c r="K195" s="22"/>
      <c r="L195" s="21">
        <v>4.119051026</v>
      </c>
      <c r="M195" s="22"/>
      <c r="N195" s="18">
        <v>1.624164611647615</v>
      </c>
      <c r="O195" s="18">
        <v>0.0</v>
      </c>
    </row>
    <row r="196">
      <c r="A196" s="19" t="s">
        <v>10</v>
      </c>
      <c r="B196" s="19" t="s">
        <v>38</v>
      </c>
      <c r="C196" s="20" t="s">
        <v>39</v>
      </c>
      <c r="D196" s="20" t="s">
        <v>13</v>
      </c>
      <c r="E196" s="19" t="s">
        <v>14</v>
      </c>
      <c r="F196" s="21">
        <v>110.0</v>
      </c>
      <c r="G196" s="19" t="s">
        <v>55</v>
      </c>
      <c r="H196" s="18">
        <v>2024.0</v>
      </c>
      <c r="I196" s="20" t="s">
        <v>53</v>
      </c>
      <c r="J196" s="21">
        <v>6.799699672</v>
      </c>
      <c r="K196" s="22"/>
      <c r="L196" s="21">
        <v>4.210252364</v>
      </c>
      <c r="M196" s="22"/>
      <c r="N196" s="18">
        <v>1.6150337519292706</v>
      </c>
      <c r="O196" s="18">
        <v>0.0</v>
      </c>
    </row>
    <row r="197">
      <c r="A197" s="19" t="s">
        <v>10</v>
      </c>
      <c r="B197" s="19" t="s">
        <v>38</v>
      </c>
      <c r="C197" s="20" t="s">
        <v>39</v>
      </c>
      <c r="D197" s="20" t="s">
        <v>13</v>
      </c>
      <c r="E197" s="19" t="s">
        <v>14</v>
      </c>
      <c r="F197" s="21">
        <v>110.0</v>
      </c>
      <c r="G197" s="19" t="s">
        <v>55</v>
      </c>
      <c r="H197" s="18">
        <v>2024.0</v>
      </c>
      <c r="I197" s="20" t="s">
        <v>54</v>
      </c>
      <c r="J197" s="21">
        <v>6.909382434</v>
      </c>
      <c r="K197" s="22"/>
      <c r="L197" s="21">
        <v>4.301453701</v>
      </c>
      <c r="M197" s="22"/>
      <c r="N197" s="18">
        <v>1.6062900856967752</v>
      </c>
      <c r="O197" s="18">
        <v>0.0</v>
      </c>
    </row>
    <row r="198">
      <c r="A198" s="19" t="s">
        <v>10</v>
      </c>
      <c r="B198" s="19" t="s">
        <v>38</v>
      </c>
      <c r="C198" s="20" t="s">
        <v>39</v>
      </c>
      <c r="D198" s="20" t="s">
        <v>13</v>
      </c>
      <c r="E198" s="19" t="s">
        <v>14</v>
      </c>
      <c r="F198" s="21">
        <v>170.0</v>
      </c>
      <c r="G198" s="19" t="s">
        <v>57</v>
      </c>
      <c r="H198" s="18">
        <v>2024.0</v>
      </c>
      <c r="I198" s="20" t="s">
        <v>51</v>
      </c>
      <c r="J198" s="21">
        <v>22.36950385</v>
      </c>
      <c r="K198" s="22"/>
      <c r="L198" s="21">
        <v>9.174691893</v>
      </c>
      <c r="M198" s="22"/>
      <c r="N198" s="18">
        <v>2.438174939375046</v>
      </c>
      <c r="O198" s="18">
        <v>0.0</v>
      </c>
    </row>
    <row r="199">
      <c r="A199" s="19" t="s">
        <v>10</v>
      </c>
      <c r="B199" s="19" t="s">
        <v>38</v>
      </c>
      <c r="C199" s="20" t="s">
        <v>39</v>
      </c>
      <c r="D199" s="20" t="s">
        <v>13</v>
      </c>
      <c r="E199" s="19" t="s">
        <v>14</v>
      </c>
      <c r="F199" s="21">
        <v>170.0</v>
      </c>
      <c r="G199" s="19" t="s">
        <v>57</v>
      </c>
      <c r="H199" s="18">
        <v>2024.0</v>
      </c>
      <c r="I199" s="20" t="s">
        <v>52</v>
      </c>
      <c r="J199" s="21">
        <v>22.11330353</v>
      </c>
      <c r="K199" s="22"/>
      <c r="L199" s="21">
        <v>8.965950894</v>
      </c>
      <c r="M199" s="22"/>
      <c r="N199" s="18">
        <v>2.4663645598146413</v>
      </c>
      <c r="O199" s="18">
        <v>0.0</v>
      </c>
    </row>
    <row r="200">
      <c r="A200" s="19" t="s">
        <v>10</v>
      </c>
      <c r="B200" s="19" t="s">
        <v>38</v>
      </c>
      <c r="C200" s="20" t="s">
        <v>39</v>
      </c>
      <c r="D200" s="20" t="s">
        <v>13</v>
      </c>
      <c r="E200" s="19" t="s">
        <v>14</v>
      </c>
      <c r="F200" s="21">
        <v>170.0</v>
      </c>
      <c r="G200" s="19" t="s">
        <v>57</v>
      </c>
      <c r="H200" s="18">
        <v>2024.0</v>
      </c>
      <c r="I200" s="20" t="s">
        <v>53</v>
      </c>
      <c r="J200" s="21">
        <v>21.85710321</v>
      </c>
      <c r="K200" s="22"/>
      <c r="L200" s="21">
        <v>8.757209895</v>
      </c>
      <c r="M200" s="22"/>
      <c r="N200" s="18">
        <v>2.4958980625186893</v>
      </c>
      <c r="O200" s="18">
        <v>0.0</v>
      </c>
    </row>
    <row r="201">
      <c r="A201" s="19" t="s">
        <v>10</v>
      </c>
      <c r="B201" s="19" t="s">
        <v>38</v>
      </c>
      <c r="C201" s="20" t="s">
        <v>39</v>
      </c>
      <c r="D201" s="20" t="s">
        <v>13</v>
      </c>
      <c r="E201" s="19" t="s">
        <v>14</v>
      </c>
      <c r="F201" s="21">
        <v>170.0</v>
      </c>
      <c r="G201" s="19" t="s">
        <v>57</v>
      </c>
      <c r="H201" s="18">
        <v>2024.0</v>
      </c>
      <c r="I201" s="20" t="s">
        <v>54</v>
      </c>
      <c r="J201" s="21">
        <v>21.60090289</v>
      </c>
      <c r="K201" s="22"/>
      <c r="L201" s="21">
        <v>8.548468896</v>
      </c>
      <c r="M201" s="22"/>
      <c r="N201" s="18">
        <v>2.526873894354052</v>
      </c>
      <c r="O201" s="18">
        <v>0.0</v>
      </c>
    </row>
    <row r="202">
      <c r="A202" s="19" t="s">
        <v>10</v>
      </c>
      <c r="B202" s="19" t="s">
        <v>38</v>
      </c>
      <c r="C202" s="20" t="s">
        <v>40</v>
      </c>
      <c r="D202" s="20" t="s">
        <v>31</v>
      </c>
      <c r="E202" s="19" t="s">
        <v>14</v>
      </c>
      <c r="F202" s="21">
        <v>180.0</v>
      </c>
      <c r="G202" s="19" t="s">
        <v>58</v>
      </c>
      <c r="H202" s="18">
        <v>2024.0</v>
      </c>
      <c r="I202" s="20" t="s">
        <v>51</v>
      </c>
      <c r="J202" s="21">
        <v>15.00816674</v>
      </c>
      <c r="K202" s="22"/>
      <c r="L202" s="21">
        <v>4.478465635</v>
      </c>
      <c r="M202" s="22"/>
      <c r="N202" s="18">
        <v>3.3511849734222645</v>
      </c>
      <c r="O202" s="18">
        <v>0.0</v>
      </c>
    </row>
    <row r="203">
      <c r="A203" s="19" t="s">
        <v>10</v>
      </c>
      <c r="B203" s="19" t="s">
        <v>38</v>
      </c>
      <c r="C203" s="20" t="s">
        <v>40</v>
      </c>
      <c r="D203" s="20" t="s">
        <v>31</v>
      </c>
      <c r="E203" s="19" t="s">
        <v>14</v>
      </c>
      <c r="F203" s="21">
        <v>180.0</v>
      </c>
      <c r="G203" s="19" t="s">
        <v>58</v>
      </c>
      <c r="H203" s="18">
        <v>2024.0</v>
      </c>
      <c r="I203" s="20" t="s">
        <v>52</v>
      </c>
      <c r="J203" s="21">
        <v>16.30074527</v>
      </c>
      <c r="K203" s="22"/>
      <c r="L203" s="21">
        <v>4.838819</v>
      </c>
      <c r="M203" s="22"/>
      <c r="N203" s="18">
        <v>3.3687445779641685</v>
      </c>
      <c r="O203" s="18">
        <v>0.0</v>
      </c>
    </row>
    <row r="204">
      <c r="A204" s="19" t="s">
        <v>10</v>
      </c>
      <c r="B204" s="19" t="s">
        <v>38</v>
      </c>
      <c r="C204" s="20" t="s">
        <v>40</v>
      </c>
      <c r="D204" s="20" t="s">
        <v>31</v>
      </c>
      <c r="E204" s="19" t="s">
        <v>14</v>
      </c>
      <c r="F204" s="21">
        <v>180.0</v>
      </c>
      <c r="G204" s="19" t="s">
        <v>58</v>
      </c>
      <c r="H204" s="18">
        <v>2024.0</v>
      </c>
      <c r="I204" s="20" t="s">
        <v>53</v>
      </c>
      <c r="J204" s="21">
        <v>17.59332381</v>
      </c>
      <c r="K204" s="22"/>
      <c r="L204" s="21">
        <v>5.199172365</v>
      </c>
      <c r="M204" s="22"/>
      <c r="N204" s="18">
        <v>3.3838700806373443</v>
      </c>
      <c r="O204" s="18">
        <v>0.0</v>
      </c>
    </row>
    <row r="205">
      <c r="A205" s="19" t="s">
        <v>10</v>
      </c>
      <c r="B205" s="19" t="s">
        <v>38</v>
      </c>
      <c r="C205" s="20" t="s">
        <v>40</v>
      </c>
      <c r="D205" s="20" t="s">
        <v>31</v>
      </c>
      <c r="E205" s="19" t="s">
        <v>14</v>
      </c>
      <c r="F205" s="21">
        <v>180.0</v>
      </c>
      <c r="G205" s="19" t="s">
        <v>58</v>
      </c>
      <c r="H205" s="18">
        <v>2024.0</v>
      </c>
      <c r="I205" s="20" t="s">
        <v>54</v>
      </c>
      <c r="J205" s="21">
        <v>18.88590234</v>
      </c>
      <c r="K205" s="22"/>
      <c r="L205" s="21">
        <v>5.559525729</v>
      </c>
      <c r="M205" s="22"/>
      <c r="N205" s="18">
        <v>3.397034794080724</v>
      </c>
      <c r="O205" s="18">
        <v>0.0</v>
      </c>
    </row>
    <row r="206">
      <c r="A206" s="19" t="s">
        <v>10</v>
      </c>
      <c r="B206" s="19" t="s">
        <v>38</v>
      </c>
      <c r="C206" s="20" t="s">
        <v>40</v>
      </c>
      <c r="D206" s="20" t="s">
        <v>13</v>
      </c>
      <c r="E206" s="19" t="s">
        <v>14</v>
      </c>
      <c r="F206" s="21">
        <v>110.0</v>
      </c>
      <c r="G206" s="19" t="s">
        <v>56</v>
      </c>
      <c r="H206" s="18">
        <v>2024.0</v>
      </c>
      <c r="I206" s="20" t="s">
        <v>51</v>
      </c>
      <c r="J206" s="21">
        <v>8.524654334</v>
      </c>
      <c r="K206" s="22"/>
      <c r="L206" s="21">
        <v>4.41658096</v>
      </c>
      <c r="M206" s="22"/>
      <c r="N206" s="18">
        <v>1.9301478703109745</v>
      </c>
      <c r="O206" s="18">
        <v>0.0</v>
      </c>
    </row>
    <row r="207">
      <c r="A207" s="19" t="s">
        <v>10</v>
      </c>
      <c r="B207" s="19" t="s">
        <v>38</v>
      </c>
      <c r="C207" s="20" t="s">
        <v>40</v>
      </c>
      <c r="D207" s="20" t="s">
        <v>13</v>
      </c>
      <c r="E207" s="19" t="s">
        <v>14</v>
      </c>
      <c r="F207" s="21">
        <v>110.0</v>
      </c>
      <c r="G207" s="19" t="s">
        <v>56</v>
      </c>
      <c r="H207" s="18">
        <v>2024.0</v>
      </c>
      <c r="I207" s="20" t="s">
        <v>52</v>
      </c>
      <c r="J207" s="21">
        <v>8.096426982</v>
      </c>
      <c r="K207" s="22"/>
      <c r="L207" s="21">
        <v>4.190434969</v>
      </c>
      <c r="M207" s="22"/>
      <c r="N207" s="18">
        <v>1.932120899595328</v>
      </c>
      <c r="O207" s="18">
        <v>0.0</v>
      </c>
    </row>
    <row r="208">
      <c r="A208" s="19" t="s">
        <v>10</v>
      </c>
      <c r="B208" s="19" t="s">
        <v>38</v>
      </c>
      <c r="C208" s="20" t="s">
        <v>40</v>
      </c>
      <c r="D208" s="20" t="s">
        <v>13</v>
      </c>
      <c r="E208" s="19" t="s">
        <v>14</v>
      </c>
      <c r="F208" s="21">
        <v>110.0</v>
      </c>
      <c r="G208" s="19" t="s">
        <v>56</v>
      </c>
      <c r="H208" s="18">
        <v>2024.0</v>
      </c>
      <c r="I208" s="20" t="s">
        <v>53</v>
      </c>
      <c r="J208" s="21">
        <v>7.66819963</v>
      </c>
      <c r="K208" s="22"/>
      <c r="L208" s="21">
        <v>3.964288977</v>
      </c>
      <c r="M208" s="22"/>
      <c r="N208" s="18">
        <v>1.9343190353905424</v>
      </c>
      <c r="O208" s="18">
        <v>0.0</v>
      </c>
    </row>
    <row r="209">
      <c r="A209" s="19" t="s">
        <v>10</v>
      </c>
      <c r="B209" s="19" t="s">
        <v>38</v>
      </c>
      <c r="C209" s="20" t="s">
        <v>40</v>
      </c>
      <c r="D209" s="20" t="s">
        <v>13</v>
      </c>
      <c r="E209" s="19" t="s">
        <v>14</v>
      </c>
      <c r="F209" s="21">
        <v>110.0</v>
      </c>
      <c r="G209" s="19" t="s">
        <v>56</v>
      </c>
      <c r="H209" s="18">
        <v>2024.0</v>
      </c>
      <c r="I209" s="20" t="s">
        <v>54</v>
      </c>
      <c r="J209" s="21">
        <v>7.239972278</v>
      </c>
      <c r="K209" s="22"/>
      <c r="L209" s="21">
        <v>3.738142986</v>
      </c>
      <c r="M209" s="22"/>
      <c r="N209" s="18">
        <v>1.9367831313876873</v>
      </c>
      <c r="O209" s="18">
        <v>0.0</v>
      </c>
    </row>
    <row r="210">
      <c r="A210" s="19" t="s">
        <v>10</v>
      </c>
      <c r="B210" s="19" t="s">
        <v>38</v>
      </c>
      <c r="C210" s="20" t="s">
        <v>40</v>
      </c>
      <c r="D210" s="20" t="s">
        <v>13</v>
      </c>
      <c r="E210" s="19" t="s">
        <v>14</v>
      </c>
      <c r="F210" s="21">
        <v>180.0</v>
      </c>
      <c r="G210" s="19" t="s">
        <v>59</v>
      </c>
      <c r="H210" s="18">
        <v>2024.0</v>
      </c>
      <c r="I210" s="20" t="s">
        <v>51</v>
      </c>
      <c r="J210" s="21">
        <v>35.58152283</v>
      </c>
      <c r="K210" s="22"/>
      <c r="L210" s="21">
        <v>13.19064653</v>
      </c>
      <c r="M210" s="22"/>
      <c r="N210" s="18">
        <v>2.6974813364208914</v>
      </c>
      <c r="O210" s="18">
        <v>0.0</v>
      </c>
    </row>
    <row r="211">
      <c r="A211" s="19" t="s">
        <v>10</v>
      </c>
      <c r="B211" s="19" t="s">
        <v>38</v>
      </c>
      <c r="C211" s="20" t="s">
        <v>40</v>
      </c>
      <c r="D211" s="20" t="s">
        <v>13</v>
      </c>
      <c r="E211" s="19" t="s">
        <v>14</v>
      </c>
      <c r="F211" s="21">
        <v>180.0</v>
      </c>
      <c r="G211" s="19" t="s">
        <v>59</v>
      </c>
      <c r="H211" s="18">
        <v>2024.0</v>
      </c>
      <c r="I211" s="20" t="s">
        <v>52</v>
      </c>
      <c r="J211" s="21">
        <v>33.53259766</v>
      </c>
      <c r="K211" s="22"/>
      <c r="L211" s="21">
        <v>12.96975061</v>
      </c>
      <c r="M211" s="22"/>
      <c r="N211" s="18">
        <v>2.5854466032789816</v>
      </c>
      <c r="O211" s="18">
        <v>0.0</v>
      </c>
    </row>
    <row r="212">
      <c r="A212" s="19" t="s">
        <v>10</v>
      </c>
      <c r="B212" s="19" t="s">
        <v>38</v>
      </c>
      <c r="C212" s="20" t="s">
        <v>40</v>
      </c>
      <c r="D212" s="20" t="s">
        <v>13</v>
      </c>
      <c r="E212" s="19" t="s">
        <v>14</v>
      </c>
      <c r="F212" s="21">
        <v>180.0</v>
      </c>
      <c r="G212" s="19" t="s">
        <v>59</v>
      </c>
      <c r="H212" s="18">
        <v>2024.0</v>
      </c>
      <c r="I212" s="20" t="s">
        <v>53</v>
      </c>
      <c r="J212" s="21">
        <v>31.4836725</v>
      </c>
      <c r="K212" s="22"/>
      <c r="L212" s="21">
        <v>12.74885469</v>
      </c>
      <c r="M212" s="22"/>
      <c r="N212" s="18">
        <v>2.469529480534067</v>
      </c>
      <c r="O212" s="18">
        <v>0.0</v>
      </c>
    </row>
    <row r="213">
      <c r="A213" s="19" t="s">
        <v>10</v>
      </c>
      <c r="B213" s="19" t="s">
        <v>38</v>
      </c>
      <c r="C213" s="20" t="s">
        <v>40</v>
      </c>
      <c r="D213" s="20" t="s">
        <v>13</v>
      </c>
      <c r="E213" s="19" t="s">
        <v>14</v>
      </c>
      <c r="F213" s="21">
        <v>180.0</v>
      </c>
      <c r="G213" s="19" t="s">
        <v>59</v>
      </c>
      <c r="H213" s="18">
        <v>2024.0</v>
      </c>
      <c r="I213" s="20" t="s">
        <v>54</v>
      </c>
      <c r="J213" s="21">
        <v>29.43474734</v>
      </c>
      <c r="K213" s="22"/>
      <c r="L213" s="21">
        <v>12.52795877</v>
      </c>
      <c r="M213" s="22"/>
      <c r="N213" s="18">
        <v>2.3495246017639952</v>
      </c>
      <c r="O213" s="18">
        <v>0.0</v>
      </c>
    </row>
    <row r="214">
      <c r="A214" s="19" t="s">
        <v>10</v>
      </c>
      <c r="B214" s="19" t="s">
        <v>38</v>
      </c>
      <c r="C214" s="20" t="s">
        <v>40</v>
      </c>
      <c r="D214" s="20" t="s">
        <v>13</v>
      </c>
      <c r="E214" s="19" t="s">
        <v>29</v>
      </c>
      <c r="F214" s="21">
        <v>220.0</v>
      </c>
      <c r="G214" s="19" t="s">
        <v>60</v>
      </c>
      <c r="H214" s="18">
        <v>2024.0</v>
      </c>
      <c r="I214" s="20" t="s">
        <v>51</v>
      </c>
      <c r="J214" s="21">
        <v>32.02423639</v>
      </c>
      <c r="K214" s="22"/>
      <c r="L214" s="21">
        <v>8.344860359</v>
      </c>
      <c r="M214" s="22"/>
      <c r="N214" s="18">
        <v>3.837600033110392</v>
      </c>
      <c r="O214" s="18">
        <v>0.0</v>
      </c>
    </row>
    <row r="215">
      <c r="A215" s="19" t="s">
        <v>10</v>
      </c>
      <c r="B215" s="19" t="s">
        <v>38</v>
      </c>
      <c r="C215" s="20" t="s">
        <v>40</v>
      </c>
      <c r="D215" s="20" t="s">
        <v>13</v>
      </c>
      <c r="E215" s="19" t="s">
        <v>29</v>
      </c>
      <c r="F215" s="21">
        <v>220.0</v>
      </c>
      <c r="G215" s="19" t="s">
        <v>60</v>
      </c>
      <c r="H215" s="18">
        <v>2024.0</v>
      </c>
      <c r="I215" s="20" t="s">
        <v>52</v>
      </c>
      <c r="J215" s="21">
        <v>34.13354972</v>
      </c>
      <c r="K215" s="22"/>
      <c r="L215" s="21">
        <v>8.894504219</v>
      </c>
      <c r="M215" s="22"/>
      <c r="N215" s="18">
        <v>3.837600037007751</v>
      </c>
      <c r="O215" s="18">
        <v>0.0</v>
      </c>
    </row>
    <row r="216">
      <c r="A216" s="19" t="s">
        <v>10</v>
      </c>
      <c r="B216" s="19" t="s">
        <v>38</v>
      </c>
      <c r="C216" s="20" t="s">
        <v>40</v>
      </c>
      <c r="D216" s="20" t="s">
        <v>13</v>
      </c>
      <c r="E216" s="19" t="s">
        <v>29</v>
      </c>
      <c r="F216" s="21">
        <v>220.0</v>
      </c>
      <c r="G216" s="19" t="s">
        <v>60</v>
      </c>
      <c r="H216" s="18">
        <v>2024.0</v>
      </c>
      <c r="I216" s="20" t="s">
        <v>53</v>
      </c>
      <c r="J216" s="21">
        <v>36.24286305</v>
      </c>
      <c r="K216" s="22"/>
      <c r="L216" s="21">
        <v>9.444148078</v>
      </c>
      <c r="M216" s="22"/>
      <c r="N216" s="18">
        <v>3.837600040857809</v>
      </c>
      <c r="O216" s="18">
        <v>0.0</v>
      </c>
    </row>
    <row r="217">
      <c r="A217" s="19" t="s">
        <v>10</v>
      </c>
      <c r="B217" s="19" t="s">
        <v>38</v>
      </c>
      <c r="C217" s="20" t="s">
        <v>40</v>
      </c>
      <c r="D217" s="20" t="s">
        <v>13</v>
      </c>
      <c r="E217" s="19" t="s">
        <v>29</v>
      </c>
      <c r="F217" s="21">
        <v>220.0</v>
      </c>
      <c r="G217" s="19" t="s">
        <v>60</v>
      </c>
      <c r="H217" s="18">
        <v>2024.0</v>
      </c>
      <c r="I217" s="20" t="s">
        <v>54</v>
      </c>
      <c r="J217" s="21">
        <v>38.35217638</v>
      </c>
      <c r="K217" s="22"/>
      <c r="L217" s="21">
        <v>9.993791937</v>
      </c>
      <c r="M217" s="22"/>
      <c r="N217" s="18">
        <v>3.8376000442843727</v>
      </c>
      <c r="O217" s="18">
        <v>0.0</v>
      </c>
    </row>
    <row r="218">
      <c r="A218" s="19" t="s">
        <v>25</v>
      </c>
      <c r="B218" s="19" t="s">
        <v>38</v>
      </c>
      <c r="C218" s="20" t="s">
        <v>39</v>
      </c>
      <c r="D218" s="20" t="s">
        <v>13</v>
      </c>
      <c r="E218" s="19" t="s">
        <v>14</v>
      </c>
      <c r="F218" s="21">
        <v>110.0</v>
      </c>
      <c r="G218" s="19" t="s">
        <v>55</v>
      </c>
      <c r="H218" s="18">
        <v>2024.0</v>
      </c>
      <c r="I218" s="20" t="s">
        <v>51</v>
      </c>
      <c r="J218" s="21">
        <v>36.00383605</v>
      </c>
      <c r="K218" s="22"/>
      <c r="L218" s="21">
        <v>20.45252864</v>
      </c>
      <c r="M218" s="22"/>
      <c r="N218" s="18">
        <v>1.7603611115148643</v>
      </c>
      <c r="O218" s="18">
        <v>0.0</v>
      </c>
    </row>
    <row r="219">
      <c r="A219" s="19" t="s">
        <v>25</v>
      </c>
      <c r="B219" s="19" t="s">
        <v>38</v>
      </c>
      <c r="C219" s="20" t="s">
        <v>39</v>
      </c>
      <c r="D219" s="20" t="s">
        <v>13</v>
      </c>
      <c r="E219" s="19" t="s">
        <v>14</v>
      </c>
      <c r="F219" s="21">
        <v>110.0</v>
      </c>
      <c r="G219" s="19" t="s">
        <v>55</v>
      </c>
      <c r="H219" s="18">
        <v>2024.0</v>
      </c>
      <c r="I219" s="20" t="s">
        <v>52</v>
      </c>
      <c r="J219" s="21">
        <v>38.07731587</v>
      </c>
      <c r="K219" s="22"/>
      <c r="L219" s="21">
        <v>21.24811243</v>
      </c>
      <c r="M219" s="22"/>
      <c r="N219" s="18">
        <v>1.792032868587377</v>
      </c>
      <c r="O219" s="18">
        <v>0.0</v>
      </c>
    </row>
    <row r="220">
      <c r="A220" s="19" t="s">
        <v>25</v>
      </c>
      <c r="B220" s="19" t="s">
        <v>38</v>
      </c>
      <c r="C220" s="20" t="s">
        <v>39</v>
      </c>
      <c r="D220" s="20" t="s">
        <v>13</v>
      </c>
      <c r="E220" s="19" t="s">
        <v>14</v>
      </c>
      <c r="F220" s="21">
        <v>110.0</v>
      </c>
      <c r="G220" s="19" t="s">
        <v>55</v>
      </c>
      <c r="H220" s="18">
        <v>2024.0</v>
      </c>
      <c r="I220" s="20" t="s">
        <v>53</v>
      </c>
      <c r="J220" s="21">
        <v>40.15079568</v>
      </c>
      <c r="K220" s="22"/>
      <c r="L220" s="21">
        <v>22.04369621</v>
      </c>
      <c r="M220" s="22"/>
      <c r="N220" s="18">
        <v>1.821418481614976</v>
      </c>
      <c r="O220" s="18">
        <v>0.0</v>
      </c>
    </row>
    <row r="221">
      <c r="A221" s="19" t="s">
        <v>25</v>
      </c>
      <c r="B221" s="19" t="s">
        <v>38</v>
      </c>
      <c r="C221" s="20" t="s">
        <v>39</v>
      </c>
      <c r="D221" s="20" t="s">
        <v>13</v>
      </c>
      <c r="E221" s="19" t="s">
        <v>14</v>
      </c>
      <c r="F221" s="21">
        <v>110.0</v>
      </c>
      <c r="G221" s="19" t="s">
        <v>55</v>
      </c>
      <c r="H221" s="18">
        <v>2024.0</v>
      </c>
      <c r="I221" s="20" t="s">
        <v>54</v>
      </c>
      <c r="J221" s="21">
        <v>42.2242755</v>
      </c>
      <c r="K221" s="22"/>
      <c r="L221" s="21">
        <v>22.83928</v>
      </c>
      <c r="M221" s="22"/>
      <c r="N221" s="18">
        <v>1.8487568566084396</v>
      </c>
      <c r="O221" s="18">
        <v>0.0</v>
      </c>
    </row>
    <row r="222">
      <c r="A222" s="19" t="s">
        <v>25</v>
      </c>
      <c r="B222" s="19" t="s">
        <v>38</v>
      </c>
      <c r="C222" s="20" t="s">
        <v>39</v>
      </c>
      <c r="D222" s="20" t="s">
        <v>13</v>
      </c>
      <c r="E222" s="19" t="s">
        <v>14</v>
      </c>
      <c r="F222" s="21">
        <v>170.0</v>
      </c>
      <c r="G222" s="19" t="s">
        <v>57</v>
      </c>
      <c r="H222" s="18">
        <v>2024.0</v>
      </c>
      <c r="I222" s="20" t="s">
        <v>51</v>
      </c>
      <c r="J222" s="21">
        <v>45.97707319</v>
      </c>
      <c r="K222" s="22"/>
      <c r="L222" s="21">
        <v>19.88409364</v>
      </c>
      <c r="M222" s="22"/>
      <c r="N222" s="18">
        <v>2.312253906183073</v>
      </c>
      <c r="O222" s="18">
        <v>0.0</v>
      </c>
    </row>
    <row r="223">
      <c r="A223" s="19" t="s">
        <v>25</v>
      </c>
      <c r="B223" s="19" t="s">
        <v>38</v>
      </c>
      <c r="C223" s="20" t="s">
        <v>39</v>
      </c>
      <c r="D223" s="20" t="s">
        <v>13</v>
      </c>
      <c r="E223" s="19" t="s">
        <v>14</v>
      </c>
      <c r="F223" s="21">
        <v>170.0</v>
      </c>
      <c r="G223" s="19" t="s">
        <v>57</v>
      </c>
      <c r="H223" s="18">
        <v>2024.0</v>
      </c>
      <c r="I223" s="20" t="s">
        <v>52</v>
      </c>
      <c r="J223" s="21">
        <v>44.44272788</v>
      </c>
      <c r="K223" s="22"/>
      <c r="L223" s="21">
        <v>19.15537496</v>
      </c>
      <c r="M223" s="22"/>
      <c r="N223" s="18">
        <v>2.320117876721532</v>
      </c>
      <c r="O223" s="18">
        <v>0.0</v>
      </c>
    </row>
    <row r="224">
      <c r="A224" s="19" t="s">
        <v>25</v>
      </c>
      <c r="B224" s="19" t="s">
        <v>38</v>
      </c>
      <c r="C224" s="20" t="s">
        <v>39</v>
      </c>
      <c r="D224" s="20" t="s">
        <v>13</v>
      </c>
      <c r="E224" s="19" t="s">
        <v>14</v>
      </c>
      <c r="F224" s="21">
        <v>170.0</v>
      </c>
      <c r="G224" s="19" t="s">
        <v>57</v>
      </c>
      <c r="H224" s="18">
        <v>2024.0</v>
      </c>
      <c r="I224" s="20" t="s">
        <v>53</v>
      </c>
      <c r="J224" s="21">
        <v>42.90838257</v>
      </c>
      <c r="K224" s="22"/>
      <c r="L224" s="21">
        <v>18.42665629</v>
      </c>
      <c r="M224" s="22"/>
      <c r="N224" s="18">
        <v>2.328603838629477</v>
      </c>
      <c r="O224" s="18">
        <v>0.0</v>
      </c>
    </row>
    <row r="225">
      <c r="A225" s="19" t="s">
        <v>25</v>
      </c>
      <c r="B225" s="19" t="s">
        <v>38</v>
      </c>
      <c r="C225" s="20" t="s">
        <v>39</v>
      </c>
      <c r="D225" s="20" t="s">
        <v>13</v>
      </c>
      <c r="E225" s="19" t="s">
        <v>14</v>
      </c>
      <c r="F225" s="21">
        <v>170.0</v>
      </c>
      <c r="G225" s="19" t="s">
        <v>57</v>
      </c>
      <c r="H225" s="18">
        <v>2024.0</v>
      </c>
      <c r="I225" s="20" t="s">
        <v>54</v>
      </c>
      <c r="J225" s="21">
        <v>41.37403726</v>
      </c>
      <c r="K225" s="22"/>
      <c r="L225" s="21">
        <v>17.69793761</v>
      </c>
      <c r="M225" s="22"/>
      <c r="N225" s="18">
        <v>2.337788626660211</v>
      </c>
      <c r="O225" s="18">
        <v>0.0</v>
      </c>
    </row>
    <row r="226">
      <c r="A226" s="19" t="s">
        <v>25</v>
      </c>
      <c r="B226" s="19" t="s">
        <v>38</v>
      </c>
      <c r="C226" s="20" t="s">
        <v>40</v>
      </c>
      <c r="D226" s="20" t="s">
        <v>31</v>
      </c>
      <c r="E226" s="19" t="s">
        <v>14</v>
      </c>
      <c r="F226" s="21">
        <v>180.0</v>
      </c>
      <c r="G226" s="19" t="s">
        <v>58</v>
      </c>
      <c r="H226" s="18">
        <v>2024.0</v>
      </c>
      <c r="I226" s="20" t="s">
        <v>51</v>
      </c>
      <c r="J226" s="21">
        <v>2.628560664</v>
      </c>
      <c r="K226" s="22"/>
      <c r="L226" s="21">
        <v>0.617358169</v>
      </c>
      <c r="M226" s="22"/>
      <c r="N226" s="18">
        <v>4.257756349539776</v>
      </c>
      <c r="O226" s="18">
        <v>0.0</v>
      </c>
    </row>
    <row r="227">
      <c r="A227" s="19" t="s">
        <v>25</v>
      </c>
      <c r="B227" s="19" t="s">
        <v>38</v>
      </c>
      <c r="C227" s="20" t="s">
        <v>40</v>
      </c>
      <c r="D227" s="20" t="s">
        <v>31</v>
      </c>
      <c r="E227" s="19" t="s">
        <v>14</v>
      </c>
      <c r="F227" s="21">
        <v>180.0</v>
      </c>
      <c r="G227" s="19" t="s">
        <v>58</v>
      </c>
      <c r="H227" s="18">
        <v>2024.0</v>
      </c>
      <c r="I227" s="20" t="s">
        <v>52</v>
      </c>
      <c r="J227" s="21">
        <v>2.350230438</v>
      </c>
      <c r="K227" s="22"/>
      <c r="L227" s="21">
        <v>0.551988006137091</v>
      </c>
      <c r="M227" s="22"/>
      <c r="N227" s="18">
        <v>4.257756349539776</v>
      </c>
      <c r="O227" s="18">
        <v>0.0</v>
      </c>
    </row>
    <row r="228">
      <c r="A228" s="19" t="s">
        <v>25</v>
      </c>
      <c r="B228" s="19" t="s">
        <v>38</v>
      </c>
      <c r="C228" s="20" t="s">
        <v>40</v>
      </c>
      <c r="D228" s="20" t="s">
        <v>31</v>
      </c>
      <c r="E228" s="19" t="s">
        <v>14</v>
      </c>
      <c r="F228" s="21">
        <v>180.0</v>
      </c>
      <c r="G228" s="19" t="s">
        <v>58</v>
      </c>
      <c r="H228" s="18">
        <v>2024.0</v>
      </c>
      <c r="I228" s="20" t="s">
        <v>53</v>
      </c>
      <c r="J228" s="21">
        <v>2.071900212</v>
      </c>
      <c r="K228" s="22"/>
      <c r="L228" s="21">
        <v>0.486617843274182</v>
      </c>
      <c r="M228" s="22"/>
      <c r="N228" s="18">
        <v>4.257756349539776</v>
      </c>
      <c r="O228" s="18">
        <v>0.0</v>
      </c>
    </row>
    <row r="229">
      <c r="A229" s="19" t="s">
        <v>25</v>
      </c>
      <c r="B229" s="19" t="s">
        <v>38</v>
      </c>
      <c r="C229" s="20" t="s">
        <v>40</v>
      </c>
      <c r="D229" s="20" t="s">
        <v>31</v>
      </c>
      <c r="E229" s="19" t="s">
        <v>14</v>
      </c>
      <c r="F229" s="21">
        <v>180.0</v>
      </c>
      <c r="G229" s="19" t="s">
        <v>58</v>
      </c>
      <c r="H229" s="18">
        <v>2024.0</v>
      </c>
      <c r="I229" s="20" t="s">
        <v>54</v>
      </c>
      <c r="J229" s="21">
        <v>1.793569986</v>
      </c>
      <c r="K229" s="22"/>
      <c r="L229" s="21">
        <v>0.421247680411273</v>
      </c>
      <c r="M229" s="22"/>
      <c r="N229" s="18">
        <v>4.257756349539776</v>
      </c>
      <c r="O229" s="18">
        <v>0.0</v>
      </c>
    </row>
    <row r="230">
      <c r="A230" s="19" t="s">
        <v>25</v>
      </c>
      <c r="B230" s="19" t="s">
        <v>38</v>
      </c>
      <c r="C230" s="20" t="s">
        <v>40</v>
      </c>
      <c r="D230" s="20" t="s">
        <v>13</v>
      </c>
      <c r="E230" s="19" t="s">
        <v>14</v>
      </c>
      <c r="F230" s="21">
        <v>110.0</v>
      </c>
      <c r="G230" s="19" t="s">
        <v>56</v>
      </c>
      <c r="H230" s="18">
        <v>2024.0</v>
      </c>
      <c r="I230" s="20" t="s">
        <v>51</v>
      </c>
      <c r="J230" s="21">
        <v>7.299421458</v>
      </c>
      <c r="K230" s="22"/>
      <c r="L230" s="21">
        <v>4.332384443</v>
      </c>
      <c r="M230" s="22"/>
      <c r="N230" s="18">
        <v>1.684850814611791</v>
      </c>
      <c r="O230" s="18">
        <v>0.0</v>
      </c>
    </row>
    <row r="231">
      <c r="A231" s="19" t="s">
        <v>25</v>
      </c>
      <c r="B231" s="19" t="s">
        <v>38</v>
      </c>
      <c r="C231" s="20" t="s">
        <v>40</v>
      </c>
      <c r="D231" s="20" t="s">
        <v>13</v>
      </c>
      <c r="E231" s="19" t="s">
        <v>14</v>
      </c>
      <c r="F231" s="21">
        <v>110.0</v>
      </c>
      <c r="G231" s="19" t="s">
        <v>56</v>
      </c>
      <c r="H231" s="18">
        <v>2024.0</v>
      </c>
      <c r="I231" s="20" t="s">
        <v>52</v>
      </c>
      <c r="J231" s="21">
        <v>5.031776782</v>
      </c>
      <c r="K231" s="22"/>
      <c r="L231" s="21">
        <v>3.542527249</v>
      </c>
      <c r="M231" s="22"/>
      <c r="N231" s="18">
        <v>1.4203918356366607</v>
      </c>
      <c r="O231" s="18">
        <v>0.0</v>
      </c>
    </row>
    <row r="232">
      <c r="A232" s="19" t="s">
        <v>25</v>
      </c>
      <c r="B232" s="19" t="s">
        <v>38</v>
      </c>
      <c r="C232" s="20" t="s">
        <v>40</v>
      </c>
      <c r="D232" s="20" t="s">
        <v>13</v>
      </c>
      <c r="E232" s="19" t="s">
        <v>14</v>
      </c>
      <c r="F232" s="21">
        <v>110.0</v>
      </c>
      <c r="G232" s="19" t="s">
        <v>56</v>
      </c>
      <c r="H232" s="18">
        <v>2024.0</v>
      </c>
      <c r="I232" s="20" t="s">
        <v>53</v>
      </c>
      <c r="J232" s="21">
        <v>2.764132107</v>
      </c>
      <c r="K232" s="22"/>
      <c r="L232" s="21">
        <v>2.752670055</v>
      </c>
      <c r="M232" s="22"/>
      <c r="N232" s="18">
        <v>1.0041639759836747</v>
      </c>
      <c r="O232" s="18">
        <v>0.0</v>
      </c>
    </row>
    <row r="233">
      <c r="A233" s="19" t="s">
        <v>25</v>
      </c>
      <c r="B233" s="19" t="s">
        <v>38</v>
      </c>
      <c r="C233" s="20" t="s">
        <v>40</v>
      </c>
      <c r="D233" s="20" t="s">
        <v>13</v>
      </c>
      <c r="E233" s="19" t="s">
        <v>14</v>
      </c>
      <c r="F233" s="21">
        <v>110.0</v>
      </c>
      <c r="G233" s="19" t="s">
        <v>56</v>
      </c>
      <c r="H233" s="18">
        <v>2024.0</v>
      </c>
      <c r="I233" s="20" t="s">
        <v>54</v>
      </c>
      <c r="J233" s="21">
        <v>0.496487432</v>
      </c>
      <c r="K233" s="22"/>
      <c r="L233" s="21">
        <v>1.962812861</v>
      </c>
      <c r="M233" s="22"/>
      <c r="N233" s="18">
        <v>0.2529469017983982</v>
      </c>
      <c r="O233" s="18">
        <v>0.0</v>
      </c>
    </row>
    <row r="234">
      <c r="A234" s="19" t="s">
        <v>25</v>
      </c>
      <c r="B234" s="19" t="s">
        <v>38</v>
      </c>
      <c r="C234" s="20" t="s">
        <v>40</v>
      </c>
      <c r="D234" s="20" t="s">
        <v>13</v>
      </c>
      <c r="E234" s="19" t="s">
        <v>14</v>
      </c>
      <c r="F234" s="21">
        <v>180.0</v>
      </c>
      <c r="G234" s="19" t="s">
        <v>59</v>
      </c>
      <c r="H234" s="18">
        <v>2024.0</v>
      </c>
      <c r="I234" s="20" t="s">
        <v>51</v>
      </c>
      <c r="J234" s="21">
        <v>22.10216882</v>
      </c>
      <c r="K234" s="22"/>
      <c r="L234" s="21">
        <v>6.405071398</v>
      </c>
      <c r="M234" s="22"/>
      <c r="N234" s="18">
        <v>3.450729499580826</v>
      </c>
      <c r="O234" s="18">
        <v>0.0</v>
      </c>
    </row>
    <row r="235">
      <c r="A235" s="19" t="s">
        <v>25</v>
      </c>
      <c r="B235" s="19" t="s">
        <v>38</v>
      </c>
      <c r="C235" s="20" t="s">
        <v>40</v>
      </c>
      <c r="D235" s="20" t="s">
        <v>13</v>
      </c>
      <c r="E235" s="19" t="s">
        <v>14</v>
      </c>
      <c r="F235" s="21">
        <v>180.0</v>
      </c>
      <c r="G235" s="19" t="s">
        <v>59</v>
      </c>
      <c r="H235" s="18">
        <v>2024.0</v>
      </c>
      <c r="I235" s="20" t="s">
        <v>52</v>
      </c>
      <c r="J235" s="21">
        <v>20.92899781</v>
      </c>
      <c r="K235" s="22"/>
      <c r="L235" s="21">
        <v>5.440670863</v>
      </c>
      <c r="M235" s="22"/>
      <c r="N235" s="18">
        <v>3.84676785951718</v>
      </c>
      <c r="O235" s="18">
        <v>0.0</v>
      </c>
    </row>
    <row r="236">
      <c r="A236" s="19" t="s">
        <v>25</v>
      </c>
      <c r="B236" s="19" t="s">
        <v>38</v>
      </c>
      <c r="C236" s="20" t="s">
        <v>40</v>
      </c>
      <c r="D236" s="20" t="s">
        <v>13</v>
      </c>
      <c r="E236" s="19" t="s">
        <v>14</v>
      </c>
      <c r="F236" s="21">
        <v>180.0</v>
      </c>
      <c r="G236" s="19" t="s">
        <v>59</v>
      </c>
      <c r="H236" s="18">
        <v>2024.0</v>
      </c>
      <c r="I236" s="20" t="s">
        <v>53</v>
      </c>
      <c r="J236" s="21">
        <v>19.75582679</v>
      </c>
      <c r="K236" s="22"/>
      <c r="L236" s="21">
        <v>4.476270328</v>
      </c>
      <c r="M236" s="22"/>
      <c r="N236" s="18">
        <v>4.413457039540978</v>
      </c>
      <c r="O236" s="18">
        <v>0.0</v>
      </c>
    </row>
    <row r="237">
      <c r="A237" s="19" t="s">
        <v>25</v>
      </c>
      <c r="B237" s="19" t="s">
        <v>38</v>
      </c>
      <c r="C237" s="20" t="s">
        <v>40</v>
      </c>
      <c r="D237" s="20" t="s">
        <v>13</v>
      </c>
      <c r="E237" s="19" t="s">
        <v>14</v>
      </c>
      <c r="F237" s="21">
        <v>180.0</v>
      </c>
      <c r="G237" s="19" t="s">
        <v>59</v>
      </c>
      <c r="H237" s="18">
        <v>2024.0</v>
      </c>
      <c r="I237" s="20" t="s">
        <v>54</v>
      </c>
      <c r="J237" s="21">
        <v>18.58265578</v>
      </c>
      <c r="K237" s="22"/>
      <c r="L237" s="21">
        <v>4.21045353189451</v>
      </c>
      <c r="M237" s="22"/>
      <c r="N237" s="18">
        <v>4.413457039540978</v>
      </c>
      <c r="O237" s="18">
        <v>0.0</v>
      </c>
    </row>
    <row r="238">
      <c r="A238" s="19" t="s">
        <v>25</v>
      </c>
      <c r="B238" s="19" t="s">
        <v>38</v>
      </c>
      <c r="C238" s="20" t="s">
        <v>40</v>
      </c>
      <c r="D238" s="20" t="s">
        <v>13</v>
      </c>
      <c r="E238" s="19" t="s">
        <v>29</v>
      </c>
      <c r="F238" s="21">
        <v>220.0</v>
      </c>
      <c r="G238" s="19" t="s">
        <v>60</v>
      </c>
      <c r="H238" s="18">
        <v>2024.0</v>
      </c>
      <c r="I238" s="20" t="s">
        <v>51</v>
      </c>
      <c r="J238" s="21">
        <v>6.098110816</v>
      </c>
      <c r="K238" s="22"/>
      <c r="L238" s="21">
        <v>1.589370988</v>
      </c>
      <c r="M238" s="22"/>
      <c r="N238" s="18">
        <v>3.836807681807264</v>
      </c>
      <c r="O238" s="18">
        <v>0.0</v>
      </c>
    </row>
    <row r="239">
      <c r="A239" s="19" t="s">
        <v>25</v>
      </c>
      <c r="B239" s="19" t="s">
        <v>38</v>
      </c>
      <c r="C239" s="20" t="s">
        <v>40</v>
      </c>
      <c r="D239" s="20" t="s">
        <v>13</v>
      </c>
      <c r="E239" s="19" t="s">
        <v>29</v>
      </c>
      <c r="F239" s="21">
        <v>220.0</v>
      </c>
      <c r="G239" s="19" t="s">
        <v>60</v>
      </c>
      <c r="H239" s="18">
        <v>2024.0</v>
      </c>
      <c r="I239" s="20" t="s">
        <v>52</v>
      </c>
      <c r="J239" s="21">
        <v>4.405345779</v>
      </c>
      <c r="K239" s="22"/>
      <c r="L239" s="21">
        <v>1.148207871</v>
      </c>
      <c r="M239" s="22"/>
      <c r="N239" s="18">
        <v>3.8367144924405414</v>
      </c>
      <c r="O239" s="18">
        <v>0.0</v>
      </c>
    </row>
    <row r="240">
      <c r="A240" s="19" t="s">
        <v>25</v>
      </c>
      <c r="B240" s="19" t="s">
        <v>38</v>
      </c>
      <c r="C240" s="20" t="s">
        <v>40</v>
      </c>
      <c r="D240" s="20" t="s">
        <v>13</v>
      </c>
      <c r="E240" s="19" t="s">
        <v>29</v>
      </c>
      <c r="F240" s="21">
        <v>220.0</v>
      </c>
      <c r="G240" s="19" t="s">
        <v>60</v>
      </c>
      <c r="H240" s="18">
        <v>2024.0</v>
      </c>
      <c r="I240" s="20" t="s">
        <v>53</v>
      </c>
      <c r="J240" s="21">
        <v>2.712580743</v>
      </c>
      <c r="K240" s="22"/>
      <c r="L240" s="21">
        <v>0.707044755</v>
      </c>
      <c r="M240" s="22"/>
      <c r="N240" s="18">
        <v>3.8365050073810396</v>
      </c>
      <c r="O240" s="18">
        <v>0.0</v>
      </c>
    </row>
    <row r="241">
      <c r="A241" s="19" t="s">
        <v>25</v>
      </c>
      <c r="B241" s="19" t="s">
        <v>38</v>
      </c>
      <c r="C241" s="20" t="s">
        <v>40</v>
      </c>
      <c r="D241" s="20" t="s">
        <v>13</v>
      </c>
      <c r="E241" s="19" t="s">
        <v>29</v>
      </c>
      <c r="F241" s="21">
        <v>220.0</v>
      </c>
      <c r="G241" s="19" t="s">
        <v>60</v>
      </c>
      <c r="H241" s="18">
        <v>2024.0</v>
      </c>
      <c r="I241" s="20" t="s">
        <v>54</v>
      </c>
      <c r="J241" s="21">
        <v>1.019815706</v>
      </c>
      <c r="K241" s="22"/>
      <c r="L241" s="21">
        <v>0.265881639</v>
      </c>
      <c r="M241" s="22"/>
      <c r="N241" s="18">
        <v>3.835600343956056</v>
      </c>
      <c r="O241" s="18">
        <v>0.0</v>
      </c>
    </row>
    <row r="242">
      <c r="A242" s="19" t="s">
        <v>24</v>
      </c>
      <c r="B242" s="19" t="s">
        <v>38</v>
      </c>
      <c r="C242" s="20" t="s">
        <v>39</v>
      </c>
      <c r="D242" s="20" t="s">
        <v>13</v>
      </c>
      <c r="E242" s="19" t="s">
        <v>14</v>
      </c>
      <c r="F242" s="21">
        <v>110.0</v>
      </c>
      <c r="G242" s="19" t="s">
        <v>55</v>
      </c>
      <c r="H242" s="18">
        <v>2024.0</v>
      </c>
      <c r="I242" s="20" t="s">
        <v>51</v>
      </c>
      <c r="J242" s="21">
        <v>16.41288983</v>
      </c>
      <c r="K242" s="22"/>
      <c r="L242" s="21">
        <v>8.737599891</v>
      </c>
      <c r="M242" s="22"/>
      <c r="N242" s="18">
        <v>1.878420851806889</v>
      </c>
      <c r="O242" s="18">
        <v>0.0</v>
      </c>
    </row>
    <row r="243">
      <c r="A243" s="19" t="s">
        <v>24</v>
      </c>
      <c r="B243" s="19" t="s">
        <v>38</v>
      </c>
      <c r="C243" s="20" t="s">
        <v>39</v>
      </c>
      <c r="D243" s="20" t="s">
        <v>13</v>
      </c>
      <c r="E243" s="19" t="s">
        <v>14</v>
      </c>
      <c r="F243" s="21">
        <v>110.0</v>
      </c>
      <c r="G243" s="19" t="s">
        <v>55</v>
      </c>
      <c r="H243" s="18">
        <v>2024.0</v>
      </c>
      <c r="I243" s="20" t="s">
        <v>52</v>
      </c>
      <c r="J243" s="21">
        <v>16.7905617</v>
      </c>
      <c r="K243" s="22"/>
      <c r="L243" s="21">
        <v>8.900023343</v>
      </c>
      <c r="M243" s="22"/>
      <c r="N243" s="18">
        <v>1.886575018166219</v>
      </c>
      <c r="O243" s="18">
        <v>0.0</v>
      </c>
    </row>
    <row r="244">
      <c r="A244" s="19" t="s">
        <v>24</v>
      </c>
      <c r="B244" s="19" t="s">
        <v>38</v>
      </c>
      <c r="C244" s="20" t="s">
        <v>39</v>
      </c>
      <c r="D244" s="20" t="s">
        <v>13</v>
      </c>
      <c r="E244" s="19" t="s">
        <v>14</v>
      </c>
      <c r="F244" s="21">
        <v>110.0</v>
      </c>
      <c r="G244" s="19" t="s">
        <v>55</v>
      </c>
      <c r="H244" s="18">
        <v>2024.0</v>
      </c>
      <c r="I244" s="20" t="s">
        <v>53</v>
      </c>
      <c r="J244" s="21">
        <v>17.16823358</v>
      </c>
      <c r="K244" s="22"/>
      <c r="L244" s="21">
        <v>9.062446795</v>
      </c>
      <c r="M244" s="22"/>
      <c r="N244" s="18">
        <v>1.89443689638787</v>
      </c>
      <c r="O244" s="18">
        <v>0.0</v>
      </c>
    </row>
    <row r="245">
      <c r="A245" s="19" t="s">
        <v>24</v>
      </c>
      <c r="B245" s="19" t="s">
        <v>38</v>
      </c>
      <c r="C245" s="20" t="s">
        <v>39</v>
      </c>
      <c r="D245" s="20" t="s">
        <v>13</v>
      </c>
      <c r="E245" s="19" t="s">
        <v>14</v>
      </c>
      <c r="F245" s="21">
        <v>110.0</v>
      </c>
      <c r="G245" s="19" t="s">
        <v>55</v>
      </c>
      <c r="H245" s="18">
        <v>2024.0</v>
      </c>
      <c r="I245" s="20" t="s">
        <v>54</v>
      </c>
      <c r="J245" s="21">
        <v>17.54590545</v>
      </c>
      <c r="K245" s="22"/>
      <c r="L245" s="21">
        <v>9.224870246</v>
      </c>
      <c r="M245" s="22"/>
      <c r="N245" s="18">
        <v>1.9020219235721052</v>
      </c>
      <c r="O245" s="18">
        <v>0.0</v>
      </c>
    </row>
    <row r="246">
      <c r="A246" s="19" t="s">
        <v>24</v>
      </c>
      <c r="B246" s="19" t="s">
        <v>38</v>
      </c>
      <c r="C246" s="20" t="s">
        <v>39</v>
      </c>
      <c r="D246" s="20" t="s">
        <v>13</v>
      </c>
      <c r="E246" s="19" t="s">
        <v>14</v>
      </c>
      <c r="F246" s="21">
        <v>170.0</v>
      </c>
      <c r="G246" s="19" t="s">
        <v>57</v>
      </c>
      <c r="H246" s="18">
        <v>2024.0</v>
      </c>
      <c r="I246" s="20" t="s">
        <v>51</v>
      </c>
      <c r="J246" s="21">
        <v>35.72481216</v>
      </c>
      <c r="K246" s="22"/>
      <c r="L246" s="21">
        <v>14.87160368</v>
      </c>
      <c r="M246" s="22"/>
      <c r="N246" s="18">
        <v>2.402216528137065</v>
      </c>
      <c r="O246" s="18">
        <v>0.0</v>
      </c>
    </row>
    <row r="247">
      <c r="A247" s="19" t="s">
        <v>24</v>
      </c>
      <c r="B247" s="19" t="s">
        <v>38</v>
      </c>
      <c r="C247" s="20" t="s">
        <v>39</v>
      </c>
      <c r="D247" s="20" t="s">
        <v>13</v>
      </c>
      <c r="E247" s="19" t="s">
        <v>14</v>
      </c>
      <c r="F247" s="21">
        <v>170.0</v>
      </c>
      <c r="G247" s="19" t="s">
        <v>57</v>
      </c>
      <c r="H247" s="18">
        <v>2024.0</v>
      </c>
      <c r="I247" s="20" t="s">
        <v>52</v>
      </c>
      <c r="J247" s="21">
        <v>34.90998664</v>
      </c>
      <c r="K247" s="22"/>
      <c r="L247" s="21">
        <v>14.47705574</v>
      </c>
      <c r="M247" s="22"/>
      <c r="N247" s="18">
        <v>2.4114009966504417</v>
      </c>
      <c r="O247" s="18">
        <v>0.0</v>
      </c>
    </row>
    <row r="248">
      <c r="A248" s="19" t="s">
        <v>24</v>
      </c>
      <c r="B248" s="19" t="s">
        <v>38</v>
      </c>
      <c r="C248" s="20" t="s">
        <v>39</v>
      </c>
      <c r="D248" s="20" t="s">
        <v>13</v>
      </c>
      <c r="E248" s="19" t="s">
        <v>14</v>
      </c>
      <c r="F248" s="21">
        <v>170.0</v>
      </c>
      <c r="G248" s="19" t="s">
        <v>57</v>
      </c>
      <c r="H248" s="18">
        <v>2024.0</v>
      </c>
      <c r="I248" s="20" t="s">
        <v>53</v>
      </c>
      <c r="J248" s="21">
        <v>34.09516112</v>
      </c>
      <c r="K248" s="22"/>
      <c r="L248" s="21">
        <v>14.08250781</v>
      </c>
      <c r="M248" s="22"/>
      <c r="N248" s="18">
        <v>2.4211001037605673</v>
      </c>
      <c r="O248" s="18">
        <v>0.0</v>
      </c>
    </row>
    <row r="249">
      <c r="A249" s="19" t="s">
        <v>24</v>
      </c>
      <c r="B249" s="19" t="s">
        <v>38</v>
      </c>
      <c r="C249" s="20" t="s">
        <v>39</v>
      </c>
      <c r="D249" s="20" t="s">
        <v>13</v>
      </c>
      <c r="E249" s="19" t="s">
        <v>14</v>
      </c>
      <c r="F249" s="21">
        <v>170.0</v>
      </c>
      <c r="G249" s="19" t="s">
        <v>57</v>
      </c>
      <c r="H249" s="18">
        <v>2024.0</v>
      </c>
      <c r="I249" s="20" t="s">
        <v>54</v>
      </c>
      <c r="J249" s="21">
        <v>33.2803356</v>
      </c>
      <c r="K249" s="22"/>
      <c r="L249" s="21">
        <v>13.68795988</v>
      </c>
      <c r="M249" s="22"/>
      <c r="N249" s="18">
        <v>2.4313583537476005</v>
      </c>
      <c r="O249" s="18">
        <v>0.0</v>
      </c>
    </row>
    <row r="250">
      <c r="A250" s="19" t="s">
        <v>24</v>
      </c>
      <c r="B250" s="19" t="s">
        <v>38</v>
      </c>
      <c r="C250" s="20" t="s">
        <v>40</v>
      </c>
      <c r="D250" s="20" t="s">
        <v>31</v>
      </c>
      <c r="E250" s="19" t="s">
        <v>14</v>
      </c>
      <c r="F250" s="21">
        <v>180.0</v>
      </c>
      <c r="G250" s="19" t="s">
        <v>58</v>
      </c>
      <c r="H250" s="18">
        <v>2024.0</v>
      </c>
      <c r="I250" s="20" t="s">
        <v>51</v>
      </c>
      <c r="J250" s="21">
        <v>22.57579724</v>
      </c>
      <c r="K250" s="22"/>
      <c r="L250" s="21">
        <v>7.03792446</v>
      </c>
      <c r="M250" s="22"/>
      <c r="N250" s="18">
        <v>3.2077350884212246</v>
      </c>
      <c r="O250" s="18">
        <v>0.0</v>
      </c>
    </row>
    <row r="251">
      <c r="A251" s="19" t="s">
        <v>24</v>
      </c>
      <c r="B251" s="19" t="s">
        <v>38</v>
      </c>
      <c r="C251" s="20" t="s">
        <v>40</v>
      </c>
      <c r="D251" s="20" t="s">
        <v>31</v>
      </c>
      <c r="E251" s="19" t="s">
        <v>14</v>
      </c>
      <c r="F251" s="21">
        <v>180.0</v>
      </c>
      <c r="G251" s="19" t="s">
        <v>58</v>
      </c>
      <c r="H251" s="18">
        <v>2024.0</v>
      </c>
      <c r="I251" s="20" t="s">
        <v>52</v>
      </c>
      <c r="J251" s="21">
        <v>21.11447187</v>
      </c>
      <c r="K251" s="22"/>
      <c r="L251" s="21">
        <v>6.653176792</v>
      </c>
      <c r="M251" s="22"/>
      <c r="N251" s="18">
        <v>3.1735924852303246</v>
      </c>
      <c r="O251" s="18">
        <v>0.0</v>
      </c>
    </row>
    <row r="252">
      <c r="A252" s="19" t="s">
        <v>24</v>
      </c>
      <c r="B252" s="19" t="s">
        <v>38</v>
      </c>
      <c r="C252" s="20" t="s">
        <v>40</v>
      </c>
      <c r="D252" s="20" t="s">
        <v>31</v>
      </c>
      <c r="E252" s="19" t="s">
        <v>14</v>
      </c>
      <c r="F252" s="21">
        <v>180.0</v>
      </c>
      <c r="G252" s="19" t="s">
        <v>58</v>
      </c>
      <c r="H252" s="18">
        <v>2024.0</v>
      </c>
      <c r="I252" s="20" t="s">
        <v>53</v>
      </c>
      <c r="J252" s="21">
        <v>19.65314651</v>
      </c>
      <c r="K252" s="22"/>
      <c r="L252" s="21">
        <v>6.268429124</v>
      </c>
      <c r="M252" s="22"/>
      <c r="N252" s="18">
        <v>3.13525863038856</v>
      </c>
      <c r="O252" s="18">
        <v>0.0</v>
      </c>
    </row>
    <row r="253">
      <c r="A253" s="19" t="s">
        <v>24</v>
      </c>
      <c r="B253" s="19" t="s">
        <v>38</v>
      </c>
      <c r="C253" s="20" t="s">
        <v>40</v>
      </c>
      <c r="D253" s="20" t="s">
        <v>31</v>
      </c>
      <c r="E253" s="19" t="s">
        <v>14</v>
      </c>
      <c r="F253" s="21">
        <v>180.0</v>
      </c>
      <c r="G253" s="19" t="s">
        <v>58</v>
      </c>
      <c r="H253" s="18">
        <v>2024.0</v>
      </c>
      <c r="I253" s="20" t="s">
        <v>54</v>
      </c>
      <c r="J253" s="21">
        <v>18.19182114</v>
      </c>
      <c r="K253" s="22"/>
      <c r="L253" s="21">
        <v>5.883681455</v>
      </c>
      <c r="M253" s="22"/>
      <c r="N253" s="18">
        <v>3.0919112938278537</v>
      </c>
      <c r="O253" s="18">
        <v>0.0</v>
      </c>
    </row>
    <row r="254">
      <c r="A254" s="19" t="s">
        <v>24</v>
      </c>
      <c r="B254" s="19" t="s">
        <v>38</v>
      </c>
      <c r="C254" s="20" t="s">
        <v>40</v>
      </c>
      <c r="D254" s="20" t="s">
        <v>13</v>
      </c>
      <c r="E254" s="19" t="s">
        <v>14</v>
      </c>
      <c r="F254" s="21">
        <v>110.0</v>
      </c>
      <c r="G254" s="19" t="s">
        <v>56</v>
      </c>
      <c r="H254" s="18">
        <v>2024.0</v>
      </c>
      <c r="I254" s="20" t="s">
        <v>51</v>
      </c>
      <c r="J254" s="21">
        <v>7.69298659</v>
      </c>
      <c r="K254" s="22"/>
      <c r="L254" s="21">
        <v>3.804165906</v>
      </c>
      <c r="M254" s="22"/>
      <c r="N254" s="18">
        <v>2.0222531771988392</v>
      </c>
      <c r="O254" s="18">
        <v>0.0</v>
      </c>
    </row>
    <row r="255">
      <c r="A255" s="19" t="s">
        <v>24</v>
      </c>
      <c r="B255" s="19" t="s">
        <v>38</v>
      </c>
      <c r="C255" s="20" t="s">
        <v>40</v>
      </c>
      <c r="D255" s="20" t="s">
        <v>13</v>
      </c>
      <c r="E255" s="19" t="s">
        <v>14</v>
      </c>
      <c r="F255" s="21">
        <v>110.0</v>
      </c>
      <c r="G255" s="19" t="s">
        <v>56</v>
      </c>
      <c r="H255" s="18">
        <v>2024.0</v>
      </c>
      <c r="I255" s="20" t="s">
        <v>52</v>
      </c>
      <c r="J255" s="21">
        <v>5.383601694</v>
      </c>
      <c r="K255" s="22"/>
      <c r="L255" s="21">
        <v>2.554020662</v>
      </c>
      <c r="M255" s="22"/>
      <c r="N255" s="18">
        <v>2.1078927724038907</v>
      </c>
      <c r="O255" s="18">
        <v>0.0</v>
      </c>
    </row>
    <row r="256">
      <c r="A256" s="19" t="s">
        <v>24</v>
      </c>
      <c r="B256" s="19" t="s">
        <v>38</v>
      </c>
      <c r="C256" s="20" t="s">
        <v>40</v>
      </c>
      <c r="D256" s="20" t="s">
        <v>13</v>
      </c>
      <c r="E256" s="19" t="s">
        <v>14</v>
      </c>
      <c r="F256" s="21">
        <v>110.0</v>
      </c>
      <c r="G256" s="19" t="s">
        <v>56</v>
      </c>
      <c r="H256" s="18">
        <v>2024.0</v>
      </c>
      <c r="I256" s="20" t="s">
        <v>53</v>
      </c>
      <c r="J256" s="21">
        <v>3.074216798</v>
      </c>
      <c r="K256" s="22"/>
      <c r="L256" s="21">
        <v>1.303875419</v>
      </c>
      <c r="M256" s="22"/>
      <c r="N256" s="18">
        <v>2.357753473378426</v>
      </c>
      <c r="O256" s="18">
        <v>0.0</v>
      </c>
    </row>
    <row r="257">
      <c r="A257" s="19" t="s">
        <v>24</v>
      </c>
      <c r="B257" s="19" t="s">
        <v>38</v>
      </c>
      <c r="C257" s="20" t="s">
        <v>40</v>
      </c>
      <c r="D257" s="20" t="s">
        <v>13</v>
      </c>
      <c r="E257" s="19" t="s">
        <v>14</v>
      </c>
      <c r="F257" s="21">
        <v>110.0</v>
      </c>
      <c r="G257" s="19" t="s">
        <v>56</v>
      </c>
      <c r="H257" s="18">
        <v>2024.0</v>
      </c>
      <c r="I257" s="20" t="s">
        <v>54</v>
      </c>
      <c r="J257" s="21">
        <v>0.764831902</v>
      </c>
      <c r="K257" s="22"/>
      <c r="L257" s="21">
        <v>0.324390107208313</v>
      </c>
      <c r="M257" s="22"/>
      <c r="N257" s="18">
        <v>2.357753473378426</v>
      </c>
      <c r="O257" s="18">
        <v>0.0</v>
      </c>
    </row>
    <row r="258">
      <c r="A258" s="19" t="s">
        <v>24</v>
      </c>
      <c r="B258" s="19" t="s">
        <v>38</v>
      </c>
      <c r="C258" s="20" t="s">
        <v>40</v>
      </c>
      <c r="D258" s="20" t="s">
        <v>13</v>
      </c>
      <c r="E258" s="19" t="s">
        <v>14</v>
      </c>
      <c r="F258" s="21">
        <v>180.0</v>
      </c>
      <c r="G258" s="19" t="s">
        <v>59</v>
      </c>
      <c r="H258" s="18">
        <v>2024.0</v>
      </c>
      <c r="I258" s="20" t="s">
        <v>51</v>
      </c>
      <c r="J258" s="21">
        <v>21.27162918</v>
      </c>
      <c r="K258" s="22"/>
      <c r="L258" s="21">
        <v>7.039955091</v>
      </c>
      <c r="M258" s="22"/>
      <c r="N258" s="18">
        <v>3.0215575106713417</v>
      </c>
      <c r="O258" s="18">
        <v>0.0</v>
      </c>
    </row>
    <row r="259">
      <c r="A259" s="19" t="s">
        <v>24</v>
      </c>
      <c r="B259" s="19" t="s">
        <v>38</v>
      </c>
      <c r="C259" s="20" t="s">
        <v>40</v>
      </c>
      <c r="D259" s="20" t="s">
        <v>13</v>
      </c>
      <c r="E259" s="19" t="s">
        <v>14</v>
      </c>
      <c r="F259" s="21">
        <v>180.0</v>
      </c>
      <c r="G259" s="19" t="s">
        <v>59</v>
      </c>
      <c r="H259" s="18">
        <v>2024.0</v>
      </c>
      <c r="I259" s="20" t="s">
        <v>52</v>
      </c>
      <c r="J259" s="21">
        <v>15.03003495</v>
      </c>
      <c r="K259" s="22"/>
      <c r="L259" s="21">
        <v>4.663045582</v>
      </c>
      <c r="M259" s="22"/>
      <c r="N259" s="18">
        <v>3.2232228241598175</v>
      </c>
      <c r="O259" s="18">
        <v>0.0</v>
      </c>
    </row>
    <row r="260">
      <c r="A260" s="19" t="s">
        <v>24</v>
      </c>
      <c r="B260" s="19" t="s">
        <v>38</v>
      </c>
      <c r="C260" s="20" t="s">
        <v>40</v>
      </c>
      <c r="D260" s="20" t="s">
        <v>13</v>
      </c>
      <c r="E260" s="19" t="s">
        <v>14</v>
      </c>
      <c r="F260" s="21">
        <v>180.0</v>
      </c>
      <c r="G260" s="19" t="s">
        <v>59</v>
      </c>
      <c r="H260" s="18">
        <v>2024.0</v>
      </c>
      <c r="I260" s="20" t="s">
        <v>53</v>
      </c>
      <c r="J260" s="21">
        <v>8.788440719</v>
      </c>
      <c r="K260" s="22"/>
      <c r="L260" s="21">
        <v>2.286136073</v>
      </c>
      <c r="M260" s="22"/>
      <c r="N260" s="18">
        <v>3.844233430719327</v>
      </c>
      <c r="O260" s="18">
        <v>0.0</v>
      </c>
    </row>
    <row r="261">
      <c r="A261" s="19" t="s">
        <v>24</v>
      </c>
      <c r="B261" s="19" t="s">
        <v>38</v>
      </c>
      <c r="C261" s="20" t="s">
        <v>40</v>
      </c>
      <c r="D261" s="20" t="s">
        <v>13</v>
      </c>
      <c r="E261" s="19" t="s">
        <v>14</v>
      </c>
      <c r="F261" s="21">
        <v>180.0</v>
      </c>
      <c r="G261" s="19" t="s">
        <v>59</v>
      </c>
      <c r="H261" s="18">
        <v>2024.0</v>
      </c>
      <c r="I261" s="20" t="s">
        <v>54</v>
      </c>
      <c r="J261" s="21">
        <v>2.546846487</v>
      </c>
      <c r="K261" s="22"/>
      <c r="L261" s="21">
        <v>0.662510883612871</v>
      </c>
      <c r="M261" s="22"/>
      <c r="N261" s="18">
        <v>3.844233430719327</v>
      </c>
      <c r="O261" s="18">
        <v>0.0</v>
      </c>
    </row>
    <row r="262">
      <c r="A262" s="19" t="s">
        <v>24</v>
      </c>
      <c r="B262" s="19" t="s">
        <v>38</v>
      </c>
      <c r="C262" s="20" t="s">
        <v>40</v>
      </c>
      <c r="D262" s="20" t="s">
        <v>13</v>
      </c>
      <c r="E262" s="19" t="s">
        <v>29</v>
      </c>
      <c r="F262" s="21">
        <v>220.0</v>
      </c>
      <c r="G262" s="19" t="s">
        <v>60</v>
      </c>
      <c r="H262" s="18">
        <v>2024.0</v>
      </c>
      <c r="I262" s="20" t="s">
        <v>51</v>
      </c>
      <c r="J262" s="21">
        <v>2.875277368</v>
      </c>
      <c r="K262" s="22"/>
      <c r="L262" s="21">
        <v>0.749107212</v>
      </c>
      <c r="M262" s="22"/>
      <c r="N262" s="18">
        <v>3.8382721751182394</v>
      </c>
      <c r="O262" s="18">
        <v>0.0</v>
      </c>
    </row>
    <row r="263">
      <c r="A263" s="19" t="s">
        <v>24</v>
      </c>
      <c r="B263" s="19" t="s">
        <v>38</v>
      </c>
      <c r="C263" s="20" t="s">
        <v>40</v>
      </c>
      <c r="D263" s="20" t="s">
        <v>13</v>
      </c>
      <c r="E263" s="19" t="s">
        <v>29</v>
      </c>
      <c r="F263" s="21">
        <v>220.0</v>
      </c>
      <c r="G263" s="19" t="s">
        <v>60</v>
      </c>
      <c r="H263" s="18">
        <v>2024.0</v>
      </c>
      <c r="I263" s="20" t="s">
        <v>52</v>
      </c>
      <c r="J263" s="21">
        <v>3.071223621</v>
      </c>
      <c r="K263" s="22"/>
      <c r="L263" s="21">
        <v>0.800123008</v>
      </c>
      <c r="M263" s="22"/>
      <c r="N263" s="18">
        <v>3.838439327818955</v>
      </c>
      <c r="O263" s="18">
        <v>0.0</v>
      </c>
    </row>
    <row r="264">
      <c r="A264" s="19" t="s">
        <v>24</v>
      </c>
      <c r="B264" s="19" t="s">
        <v>38</v>
      </c>
      <c r="C264" s="20" t="s">
        <v>40</v>
      </c>
      <c r="D264" s="20" t="s">
        <v>13</v>
      </c>
      <c r="E264" s="19" t="s">
        <v>29</v>
      </c>
      <c r="F264" s="21">
        <v>220.0</v>
      </c>
      <c r="G264" s="19" t="s">
        <v>60</v>
      </c>
      <c r="H264" s="18">
        <v>2024.0</v>
      </c>
      <c r="I264" s="20" t="s">
        <v>53</v>
      </c>
      <c r="J264" s="21">
        <v>3.267169874</v>
      </c>
      <c r="K264" s="22"/>
      <c r="L264" s="21">
        <v>0.851138805</v>
      </c>
      <c r="M264" s="22"/>
      <c r="N264" s="18">
        <v>3.838586438318953</v>
      </c>
      <c r="O264" s="18">
        <v>0.0</v>
      </c>
    </row>
    <row r="265">
      <c r="A265" s="19" t="s">
        <v>24</v>
      </c>
      <c r="B265" s="19" t="s">
        <v>38</v>
      </c>
      <c r="C265" s="20" t="s">
        <v>40</v>
      </c>
      <c r="D265" s="20" t="s">
        <v>13</v>
      </c>
      <c r="E265" s="19" t="s">
        <v>29</v>
      </c>
      <c r="F265" s="21">
        <v>220.0</v>
      </c>
      <c r="G265" s="19" t="s">
        <v>60</v>
      </c>
      <c r="H265" s="18">
        <v>2024.0</v>
      </c>
      <c r="I265" s="20" t="s">
        <v>54</v>
      </c>
      <c r="J265" s="21">
        <v>3.463116128</v>
      </c>
      <c r="K265" s="22"/>
      <c r="L265" s="21">
        <v>0.902154601</v>
      </c>
      <c r="M265" s="22"/>
      <c r="N265" s="18">
        <v>3.8387169163259633</v>
      </c>
      <c r="O265" s="18">
        <v>0.0</v>
      </c>
    </row>
    <row r="266">
      <c r="A266" s="19" t="s">
        <v>26</v>
      </c>
      <c r="B266" s="19" t="s">
        <v>38</v>
      </c>
      <c r="C266" s="20" t="s">
        <v>39</v>
      </c>
      <c r="D266" s="20" t="s">
        <v>13</v>
      </c>
      <c r="E266" s="19" t="s">
        <v>14</v>
      </c>
      <c r="F266" s="21">
        <v>110.0</v>
      </c>
      <c r="G266" s="19" t="s">
        <v>55</v>
      </c>
      <c r="H266" s="18">
        <v>2024.0</v>
      </c>
      <c r="I266" s="20" t="s">
        <v>51</v>
      </c>
      <c r="J266" s="21">
        <v>24.38569213</v>
      </c>
      <c r="K266" s="22"/>
      <c r="L266" s="21">
        <v>14.13578501</v>
      </c>
      <c r="M266" s="22"/>
      <c r="N266" s="18">
        <v>1.7251034953311022</v>
      </c>
      <c r="O266" s="18">
        <v>0.0</v>
      </c>
    </row>
    <row r="267">
      <c r="A267" s="19" t="s">
        <v>26</v>
      </c>
      <c r="B267" s="19" t="s">
        <v>38</v>
      </c>
      <c r="C267" s="20" t="s">
        <v>39</v>
      </c>
      <c r="D267" s="20" t="s">
        <v>13</v>
      </c>
      <c r="E267" s="19" t="s">
        <v>14</v>
      </c>
      <c r="F267" s="21">
        <v>110.0</v>
      </c>
      <c r="G267" s="19" t="s">
        <v>55</v>
      </c>
      <c r="H267" s="18">
        <v>2024.0</v>
      </c>
      <c r="I267" s="20" t="s">
        <v>52</v>
      </c>
      <c r="J267" s="21">
        <v>25.0511654</v>
      </c>
      <c r="K267" s="22"/>
      <c r="L267" s="21">
        <v>14.55811714</v>
      </c>
      <c r="M267" s="22"/>
      <c r="N267" s="18">
        <v>1.720769599467586</v>
      </c>
      <c r="O267" s="18">
        <v>0.0</v>
      </c>
    </row>
    <row r="268">
      <c r="A268" s="19" t="s">
        <v>26</v>
      </c>
      <c r="B268" s="19" t="s">
        <v>38</v>
      </c>
      <c r="C268" s="20" t="s">
        <v>39</v>
      </c>
      <c r="D268" s="20" t="s">
        <v>13</v>
      </c>
      <c r="E268" s="19" t="s">
        <v>14</v>
      </c>
      <c r="F268" s="21">
        <v>110.0</v>
      </c>
      <c r="G268" s="19" t="s">
        <v>55</v>
      </c>
      <c r="H268" s="18">
        <v>2024.0</v>
      </c>
      <c r="I268" s="20" t="s">
        <v>53</v>
      </c>
      <c r="J268" s="21">
        <v>25.71663866</v>
      </c>
      <c r="K268" s="22"/>
      <c r="L268" s="21">
        <v>14.98044927</v>
      </c>
      <c r="M268" s="22"/>
      <c r="N268" s="18">
        <v>1.7166800672327234</v>
      </c>
      <c r="O268" s="18">
        <v>0.0</v>
      </c>
    </row>
    <row r="269">
      <c r="A269" s="19" t="s">
        <v>26</v>
      </c>
      <c r="B269" s="19" t="s">
        <v>38</v>
      </c>
      <c r="C269" s="20" t="s">
        <v>39</v>
      </c>
      <c r="D269" s="20" t="s">
        <v>13</v>
      </c>
      <c r="E269" s="19" t="s">
        <v>14</v>
      </c>
      <c r="F269" s="21">
        <v>110.0</v>
      </c>
      <c r="G269" s="19" t="s">
        <v>55</v>
      </c>
      <c r="H269" s="18">
        <v>2024.0</v>
      </c>
      <c r="I269" s="20" t="s">
        <v>54</v>
      </c>
      <c r="J269" s="21">
        <v>26.38211193</v>
      </c>
      <c r="K269" s="22"/>
      <c r="L269" s="21">
        <v>15.4027814</v>
      </c>
      <c r="M269" s="22"/>
      <c r="N269" s="18">
        <v>1.7128147991504963</v>
      </c>
      <c r="O269" s="18">
        <v>0.0</v>
      </c>
    </row>
    <row r="270">
      <c r="A270" s="19" t="s">
        <v>26</v>
      </c>
      <c r="B270" s="19" t="s">
        <v>38</v>
      </c>
      <c r="C270" s="20" t="s">
        <v>39</v>
      </c>
      <c r="D270" s="20" t="s">
        <v>13</v>
      </c>
      <c r="E270" s="19" t="s">
        <v>14</v>
      </c>
      <c r="F270" s="21">
        <v>170.0</v>
      </c>
      <c r="G270" s="19" t="s">
        <v>57</v>
      </c>
      <c r="H270" s="18">
        <v>2024.0</v>
      </c>
      <c r="I270" s="20" t="s">
        <v>51</v>
      </c>
      <c r="J270" s="21">
        <v>44.18311099</v>
      </c>
      <c r="K270" s="22"/>
      <c r="L270" s="21">
        <v>17.89315237</v>
      </c>
      <c r="M270" s="22"/>
      <c r="N270" s="18">
        <v>2.4692748419265826</v>
      </c>
      <c r="O270" s="18">
        <v>0.0</v>
      </c>
    </row>
    <row r="271">
      <c r="A271" s="19" t="s">
        <v>26</v>
      </c>
      <c r="B271" s="19" t="s">
        <v>38</v>
      </c>
      <c r="C271" s="20" t="s">
        <v>39</v>
      </c>
      <c r="D271" s="20" t="s">
        <v>13</v>
      </c>
      <c r="E271" s="19" t="s">
        <v>14</v>
      </c>
      <c r="F271" s="21">
        <v>170.0</v>
      </c>
      <c r="G271" s="19" t="s">
        <v>57</v>
      </c>
      <c r="H271" s="18">
        <v>2024.0</v>
      </c>
      <c r="I271" s="20" t="s">
        <v>52</v>
      </c>
      <c r="J271" s="21">
        <v>48.2197844</v>
      </c>
      <c r="K271" s="22"/>
      <c r="L271" s="21">
        <v>17.64404175</v>
      </c>
      <c r="M271" s="22"/>
      <c r="N271" s="18">
        <v>2.7329216901223896</v>
      </c>
      <c r="O271" s="18">
        <v>0.0</v>
      </c>
    </row>
    <row r="272">
      <c r="A272" s="19" t="s">
        <v>26</v>
      </c>
      <c r="B272" s="19" t="s">
        <v>38</v>
      </c>
      <c r="C272" s="20" t="s">
        <v>39</v>
      </c>
      <c r="D272" s="20" t="s">
        <v>13</v>
      </c>
      <c r="E272" s="19" t="s">
        <v>14</v>
      </c>
      <c r="F272" s="21">
        <v>170.0</v>
      </c>
      <c r="G272" s="19" t="s">
        <v>57</v>
      </c>
      <c r="H272" s="18">
        <v>2024.0</v>
      </c>
      <c r="I272" s="20" t="s">
        <v>53</v>
      </c>
      <c r="J272" s="21">
        <v>52.25645781</v>
      </c>
      <c r="K272" s="22"/>
      <c r="L272" s="21">
        <v>17.39493112</v>
      </c>
      <c r="M272" s="22"/>
      <c r="N272" s="18">
        <v>3.004119846724636</v>
      </c>
      <c r="O272" s="18">
        <v>0.0</v>
      </c>
    </row>
    <row r="273">
      <c r="A273" s="19" t="s">
        <v>26</v>
      </c>
      <c r="B273" s="19" t="s">
        <v>38</v>
      </c>
      <c r="C273" s="20" t="s">
        <v>39</v>
      </c>
      <c r="D273" s="20" t="s">
        <v>13</v>
      </c>
      <c r="E273" s="19" t="s">
        <v>14</v>
      </c>
      <c r="F273" s="21">
        <v>170.0</v>
      </c>
      <c r="G273" s="19" t="s">
        <v>57</v>
      </c>
      <c r="H273" s="18">
        <v>2024.0</v>
      </c>
      <c r="I273" s="20" t="s">
        <v>54</v>
      </c>
      <c r="J273" s="21">
        <v>56.29313122</v>
      </c>
      <c r="K273" s="22"/>
      <c r="L273" s="21">
        <v>17.1458205</v>
      </c>
      <c r="M273" s="22"/>
      <c r="N273" s="18">
        <v>3.283198445941972</v>
      </c>
      <c r="O273" s="18">
        <v>0.0</v>
      </c>
    </row>
    <row r="274">
      <c r="A274" s="19" t="s">
        <v>26</v>
      </c>
      <c r="B274" s="19" t="s">
        <v>38</v>
      </c>
      <c r="C274" s="20" t="s">
        <v>40</v>
      </c>
      <c r="D274" s="20" t="s">
        <v>31</v>
      </c>
      <c r="E274" s="19" t="s">
        <v>14</v>
      </c>
      <c r="F274" s="21">
        <v>180.0</v>
      </c>
      <c r="G274" s="19" t="s">
        <v>58</v>
      </c>
      <c r="H274" s="18">
        <v>2024.0</v>
      </c>
      <c r="I274" s="20" t="s">
        <v>51</v>
      </c>
      <c r="J274" s="21">
        <v>32.37722767</v>
      </c>
      <c r="K274" s="22"/>
      <c r="L274" s="21">
        <v>8.701831632</v>
      </c>
      <c r="M274" s="22"/>
      <c r="N274" s="18">
        <v>3.7207370860792595</v>
      </c>
      <c r="O274" s="18">
        <v>0.0</v>
      </c>
    </row>
    <row r="275">
      <c r="A275" s="19" t="s">
        <v>26</v>
      </c>
      <c r="B275" s="19" t="s">
        <v>38</v>
      </c>
      <c r="C275" s="20" t="s">
        <v>40</v>
      </c>
      <c r="D275" s="20" t="s">
        <v>31</v>
      </c>
      <c r="E275" s="19" t="s">
        <v>14</v>
      </c>
      <c r="F275" s="21">
        <v>180.0</v>
      </c>
      <c r="G275" s="19" t="s">
        <v>58</v>
      </c>
      <c r="H275" s="18">
        <v>2024.0</v>
      </c>
      <c r="I275" s="20" t="s">
        <v>52</v>
      </c>
      <c r="J275" s="21">
        <v>31.15850355</v>
      </c>
      <c r="K275" s="22"/>
      <c r="L275" s="21">
        <v>8.150027866</v>
      </c>
      <c r="M275" s="22"/>
      <c r="N275" s="18">
        <v>3.8231161981649104</v>
      </c>
      <c r="O275" s="18">
        <v>0.0</v>
      </c>
    </row>
    <row r="276">
      <c r="A276" s="19" t="s">
        <v>26</v>
      </c>
      <c r="B276" s="19" t="s">
        <v>38</v>
      </c>
      <c r="C276" s="20" t="s">
        <v>40</v>
      </c>
      <c r="D276" s="20" t="s">
        <v>31</v>
      </c>
      <c r="E276" s="19" t="s">
        <v>14</v>
      </c>
      <c r="F276" s="21">
        <v>180.0</v>
      </c>
      <c r="G276" s="19" t="s">
        <v>58</v>
      </c>
      <c r="H276" s="18">
        <v>2024.0</v>
      </c>
      <c r="I276" s="20" t="s">
        <v>53</v>
      </c>
      <c r="J276" s="21">
        <v>29.93977944</v>
      </c>
      <c r="K276" s="22"/>
      <c r="L276" s="21">
        <v>7.5982241</v>
      </c>
      <c r="M276" s="22"/>
      <c r="N276" s="18">
        <v>3.9403654124915843</v>
      </c>
      <c r="O276" s="18">
        <v>0.0</v>
      </c>
    </row>
    <row r="277">
      <c r="A277" s="19" t="s">
        <v>26</v>
      </c>
      <c r="B277" s="19" t="s">
        <v>38</v>
      </c>
      <c r="C277" s="20" t="s">
        <v>40</v>
      </c>
      <c r="D277" s="20" t="s">
        <v>31</v>
      </c>
      <c r="E277" s="19" t="s">
        <v>14</v>
      </c>
      <c r="F277" s="21">
        <v>180.0</v>
      </c>
      <c r="G277" s="19" t="s">
        <v>58</v>
      </c>
      <c r="H277" s="18">
        <v>2024.0</v>
      </c>
      <c r="I277" s="20" t="s">
        <v>54</v>
      </c>
      <c r="J277" s="21">
        <v>28.72105532</v>
      </c>
      <c r="K277" s="22"/>
      <c r="L277" s="21">
        <v>7.046420334</v>
      </c>
      <c r="M277" s="22"/>
      <c r="N277" s="18">
        <v>4.075978150411599</v>
      </c>
      <c r="O277" s="18">
        <v>0.0</v>
      </c>
    </row>
    <row r="278">
      <c r="A278" s="19" t="s">
        <v>26</v>
      </c>
      <c r="B278" s="19" t="s">
        <v>38</v>
      </c>
      <c r="C278" s="20" t="s">
        <v>40</v>
      </c>
      <c r="D278" s="20" t="s">
        <v>13</v>
      </c>
      <c r="E278" s="19" t="s">
        <v>14</v>
      </c>
      <c r="F278" s="21">
        <v>110.0</v>
      </c>
      <c r="G278" s="19" t="s">
        <v>56</v>
      </c>
      <c r="H278" s="18">
        <v>2024.0</v>
      </c>
      <c r="I278" s="20" t="s">
        <v>51</v>
      </c>
      <c r="J278" s="21">
        <v>31.83468674</v>
      </c>
      <c r="K278" s="22"/>
      <c r="L278" s="21">
        <v>17.35924435</v>
      </c>
      <c r="M278" s="22"/>
      <c r="N278" s="18">
        <v>1.8338751444558126</v>
      </c>
      <c r="O278" s="18">
        <v>0.0</v>
      </c>
    </row>
    <row r="279">
      <c r="A279" s="19" t="s">
        <v>26</v>
      </c>
      <c r="B279" s="19" t="s">
        <v>38</v>
      </c>
      <c r="C279" s="20" t="s">
        <v>40</v>
      </c>
      <c r="D279" s="20" t="s">
        <v>13</v>
      </c>
      <c r="E279" s="19" t="s">
        <v>14</v>
      </c>
      <c r="F279" s="21">
        <v>110.0</v>
      </c>
      <c r="G279" s="19" t="s">
        <v>56</v>
      </c>
      <c r="H279" s="18">
        <v>2024.0</v>
      </c>
      <c r="I279" s="20" t="s">
        <v>52</v>
      </c>
      <c r="J279" s="21">
        <v>28.60066856</v>
      </c>
      <c r="K279" s="22"/>
      <c r="L279" s="21">
        <v>15.84125738</v>
      </c>
      <c r="M279" s="22"/>
      <c r="N279" s="18">
        <v>1.8054544455611894</v>
      </c>
      <c r="O279" s="18">
        <v>0.0</v>
      </c>
    </row>
    <row r="280">
      <c r="A280" s="19" t="s">
        <v>26</v>
      </c>
      <c r="B280" s="19" t="s">
        <v>38</v>
      </c>
      <c r="C280" s="20" t="s">
        <v>40</v>
      </c>
      <c r="D280" s="20" t="s">
        <v>13</v>
      </c>
      <c r="E280" s="19" t="s">
        <v>14</v>
      </c>
      <c r="F280" s="21">
        <v>110.0</v>
      </c>
      <c r="G280" s="19" t="s">
        <v>56</v>
      </c>
      <c r="H280" s="18">
        <v>2024.0</v>
      </c>
      <c r="I280" s="20" t="s">
        <v>53</v>
      </c>
      <c r="J280" s="21">
        <v>25.36665039</v>
      </c>
      <c r="K280" s="22"/>
      <c r="L280" s="21">
        <v>14.3232704</v>
      </c>
      <c r="M280" s="22"/>
      <c r="N280" s="18">
        <v>1.7710096703892428</v>
      </c>
      <c r="O280" s="18">
        <v>0.0</v>
      </c>
    </row>
    <row r="281">
      <c r="A281" s="19" t="s">
        <v>26</v>
      </c>
      <c r="B281" s="19" t="s">
        <v>38</v>
      </c>
      <c r="C281" s="20" t="s">
        <v>40</v>
      </c>
      <c r="D281" s="20" t="s">
        <v>13</v>
      </c>
      <c r="E281" s="19" t="s">
        <v>14</v>
      </c>
      <c r="F281" s="21">
        <v>110.0</v>
      </c>
      <c r="G281" s="19" t="s">
        <v>56</v>
      </c>
      <c r="H281" s="18">
        <v>2024.0</v>
      </c>
      <c r="I281" s="20" t="s">
        <v>54</v>
      </c>
      <c r="J281" s="21">
        <v>22.13263221</v>
      </c>
      <c r="K281" s="22"/>
      <c r="L281" s="21">
        <v>12.80528342</v>
      </c>
      <c r="M281" s="22"/>
      <c r="N281" s="18">
        <v>1.7283984652328765</v>
      </c>
      <c r="O281" s="18">
        <v>0.0</v>
      </c>
    </row>
    <row r="282">
      <c r="A282" s="19" t="s">
        <v>26</v>
      </c>
      <c r="B282" s="19" t="s">
        <v>38</v>
      </c>
      <c r="C282" s="20" t="s">
        <v>40</v>
      </c>
      <c r="D282" s="20" t="s">
        <v>13</v>
      </c>
      <c r="E282" s="19" t="s">
        <v>14</v>
      </c>
      <c r="F282" s="21">
        <v>180.0</v>
      </c>
      <c r="G282" s="19" t="s">
        <v>59</v>
      </c>
      <c r="H282" s="18">
        <v>2024.0</v>
      </c>
      <c r="I282" s="20" t="s">
        <v>51</v>
      </c>
      <c r="J282" s="21">
        <v>113.4769267</v>
      </c>
      <c r="K282" s="22"/>
      <c r="L282" s="21">
        <v>40.96131287</v>
      </c>
      <c r="M282" s="22"/>
      <c r="N282" s="18">
        <v>2.770343984338215</v>
      </c>
      <c r="O282" s="18">
        <v>0.0</v>
      </c>
    </row>
    <row r="283">
      <c r="A283" s="19" t="s">
        <v>26</v>
      </c>
      <c r="B283" s="19" t="s">
        <v>38</v>
      </c>
      <c r="C283" s="20" t="s">
        <v>40</v>
      </c>
      <c r="D283" s="20" t="s">
        <v>13</v>
      </c>
      <c r="E283" s="19" t="s">
        <v>14</v>
      </c>
      <c r="F283" s="21">
        <v>180.0</v>
      </c>
      <c r="G283" s="19" t="s">
        <v>59</v>
      </c>
      <c r="H283" s="18">
        <v>2024.0</v>
      </c>
      <c r="I283" s="20" t="s">
        <v>52</v>
      </c>
      <c r="J283" s="21">
        <v>109.331483</v>
      </c>
      <c r="K283" s="22"/>
      <c r="L283" s="21">
        <v>39.94418726</v>
      </c>
      <c r="M283" s="22"/>
      <c r="N283" s="18">
        <v>2.737106209931182</v>
      </c>
      <c r="O283" s="18">
        <v>0.0</v>
      </c>
    </row>
    <row r="284">
      <c r="A284" s="19" t="s">
        <v>26</v>
      </c>
      <c r="B284" s="19" t="s">
        <v>38</v>
      </c>
      <c r="C284" s="20" t="s">
        <v>40</v>
      </c>
      <c r="D284" s="20" t="s">
        <v>13</v>
      </c>
      <c r="E284" s="19" t="s">
        <v>14</v>
      </c>
      <c r="F284" s="21">
        <v>180.0</v>
      </c>
      <c r="G284" s="19" t="s">
        <v>59</v>
      </c>
      <c r="H284" s="18">
        <v>2024.0</v>
      </c>
      <c r="I284" s="20" t="s">
        <v>53</v>
      </c>
      <c r="J284" s="21">
        <v>105.1860393</v>
      </c>
      <c r="K284" s="22"/>
      <c r="L284" s="21">
        <v>38.92706165</v>
      </c>
      <c r="M284" s="22"/>
      <c r="N284" s="18">
        <v>2.702131495198534</v>
      </c>
      <c r="O284" s="18">
        <v>0.0</v>
      </c>
    </row>
    <row r="285">
      <c r="A285" s="19" t="s">
        <v>26</v>
      </c>
      <c r="B285" s="19" t="s">
        <v>38</v>
      </c>
      <c r="C285" s="20" t="s">
        <v>40</v>
      </c>
      <c r="D285" s="20" t="s">
        <v>13</v>
      </c>
      <c r="E285" s="19" t="s">
        <v>14</v>
      </c>
      <c r="F285" s="21">
        <v>180.0</v>
      </c>
      <c r="G285" s="19" t="s">
        <v>59</v>
      </c>
      <c r="H285" s="18">
        <v>2024.0</v>
      </c>
      <c r="I285" s="20" t="s">
        <v>54</v>
      </c>
      <c r="J285" s="21">
        <v>101.0405956</v>
      </c>
      <c r="K285" s="22"/>
      <c r="L285" s="21">
        <v>37.90993604</v>
      </c>
      <c r="M285" s="22"/>
      <c r="N285" s="18">
        <v>2.6652800335349762</v>
      </c>
      <c r="O285" s="18">
        <v>0.0</v>
      </c>
    </row>
    <row r="286">
      <c r="A286" s="19" t="s">
        <v>26</v>
      </c>
      <c r="B286" s="19" t="s">
        <v>38</v>
      </c>
      <c r="C286" s="20" t="s">
        <v>40</v>
      </c>
      <c r="D286" s="20" t="s">
        <v>13</v>
      </c>
      <c r="E286" s="19" t="s">
        <v>29</v>
      </c>
      <c r="F286" s="21">
        <v>220.0</v>
      </c>
      <c r="G286" s="19" t="s">
        <v>60</v>
      </c>
      <c r="H286" s="18">
        <v>2024.0</v>
      </c>
      <c r="I286" s="20" t="s">
        <v>51</v>
      </c>
      <c r="J286" s="21">
        <v>85.13317705</v>
      </c>
      <c r="K286" s="22"/>
      <c r="L286" s="21">
        <v>22.18348935</v>
      </c>
      <c r="M286" s="22"/>
      <c r="N286" s="18">
        <v>3.837681967287081</v>
      </c>
      <c r="O286" s="18">
        <v>0.0</v>
      </c>
    </row>
    <row r="287">
      <c r="A287" s="19" t="s">
        <v>26</v>
      </c>
      <c r="B287" s="19" t="s">
        <v>38</v>
      </c>
      <c r="C287" s="20" t="s">
        <v>40</v>
      </c>
      <c r="D287" s="20" t="s">
        <v>13</v>
      </c>
      <c r="E287" s="19" t="s">
        <v>29</v>
      </c>
      <c r="F287" s="21">
        <v>220.0</v>
      </c>
      <c r="G287" s="19" t="s">
        <v>60</v>
      </c>
      <c r="H287" s="18">
        <v>2024.0</v>
      </c>
      <c r="I287" s="20" t="s">
        <v>52</v>
      </c>
      <c r="J287" s="21">
        <v>89.18270535</v>
      </c>
      <c r="K287" s="22"/>
      <c r="L287" s="21">
        <v>23.23865714</v>
      </c>
      <c r="M287" s="22"/>
      <c r="N287" s="18">
        <v>3.8376875571046876</v>
      </c>
      <c r="O287" s="18">
        <v>0.0</v>
      </c>
    </row>
    <row r="288">
      <c r="A288" s="19" t="s">
        <v>26</v>
      </c>
      <c r="B288" s="19" t="s">
        <v>38</v>
      </c>
      <c r="C288" s="20" t="s">
        <v>40</v>
      </c>
      <c r="D288" s="20" t="s">
        <v>13</v>
      </c>
      <c r="E288" s="19" t="s">
        <v>29</v>
      </c>
      <c r="F288" s="21">
        <v>220.0</v>
      </c>
      <c r="G288" s="19" t="s">
        <v>60</v>
      </c>
      <c r="H288" s="18">
        <v>2024.0</v>
      </c>
      <c r="I288" s="20" t="s">
        <v>53</v>
      </c>
      <c r="J288" s="21">
        <v>93.23223364</v>
      </c>
      <c r="K288" s="22"/>
      <c r="L288" s="21">
        <v>24.29382493</v>
      </c>
      <c r="M288" s="22"/>
      <c r="N288" s="18">
        <v>3.8376926609390862</v>
      </c>
      <c r="O288" s="18">
        <v>0.0</v>
      </c>
    </row>
    <row r="289">
      <c r="A289" s="19" t="s">
        <v>26</v>
      </c>
      <c r="B289" s="19" t="s">
        <v>38</v>
      </c>
      <c r="C289" s="20" t="s">
        <v>40</v>
      </c>
      <c r="D289" s="20" t="s">
        <v>13</v>
      </c>
      <c r="E289" s="19" t="s">
        <v>29</v>
      </c>
      <c r="F289" s="21">
        <v>220.0</v>
      </c>
      <c r="G289" s="19" t="s">
        <v>60</v>
      </c>
      <c r="H289" s="18">
        <v>2024.0</v>
      </c>
      <c r="I289" s="20" t="s">
        <v>54</v>
      </c>
      <c r="J289" s="21">
        <v>97.28176194</v>
      </c>
      <c r="K289" s="22"/>
      <c r="L289" s="21">
        <v>25.34899273</v>
      </c>
      <c r="M289" s="22"/>
      <c r="N289" s="18">
        <v>3.837697338753389</v>
      </c>
      <c r="O289" s="18">
        <v>0.0</v>
      </c>
    </row>
    <row r="290">
      <c r="L290" s="15"/>
    </row>
    <row r="291">
      <c r="L291" s="15"/>
    </row>
    <row r="292">
      <c r="L292" s="15"/>
    </row>
    <row r="293">
      <c r="L293" s="15"/>
    </row>
    <row r="294">
      <c r="L294" s="15"/>
    </row>
    <row r="295">
      <c r="L295" s="15"/>
    </row>
    <row r="296">
      <c r="L296" s="15"/>
    </row>
    <row r="297">
      <c r="L297" s="15"/>
    </row>
    <row r="298">
      <c r="L298" s="15"/>
    </row>
    <row r="299">
      <c r="L299" s="15"/>
    </row>
    <row r="300">
      <c r="L300" s="15"/>
    </row>
    <row r="301">
      <c r="L301" s="15"/>
    </row>
    <row r="302">
      <c r="L302" s="15"/>
    </row>
    <row r="303">
      <c r="L303" s="15"/>
    </row>
    <row r="304">
      <c r="L304" s="15"/>
    </row>
    <row r="305">
      <c r="L305" s="15"/>
    </row>
    <row r="306">
      <c r="L306" s="15"/>
    </row>
    <row r="307">
      <c r="L307" s="15"/>
    </row>
    <row r="308">
      <c r="L308" s="15"/>
    </row>
    <row r="309">
      <c r="L309" s="15"/>
    </row>
    <row r="310">
      <c r="L310" s="15"/>
    </row>
    <row r="311">
      <c r="L311" s="15"/>
    </row>
    <row r="312">
      <c r="L312" s="15"/>
    </row>
    <row r="313">
      <c r="L313" s="15"/>
    </row>
    <row r="314">
      <c r="L314" s="15"/>
    </row>
    <row r="315">
      <c r="L315" s="15"/>
    </row>
    <row r="316">
      <c r="L316" s="15"/>
    </row>
    <row r="317">
      <c r="L317" s="15"/>
    </row>
    <row r="318">
      <c r="L318" s="15"/>
    </row>
    <row r="319">
      <c r="L319" s="15"/>
    </row>
    <row r="320">
      <c r="L320" s="15"/>
    </row>
    <row r="321">
      <c r="L321" s="15"/>
    </row>
    <row r="322">
      <c r="L322" s="15"/>
    </row>
    <row r="323">
      <c r="L323" s="15"/>
    </row>
    <row r="324">
      <c r="L324" s="15"/>
    </row>
    <row r="325">
      <c r="L325" s="15"/>
    </row>
    <row r="326">
      <c r="L326" s="15"/>
    </row>
    <row r="327">
      <c r="L327" s="15"/>
    </row>
    <row r="328">
      <c r="L328" s="15"/>
    </row>
    <row r="329">
      <c r="L329" s="15"/>
    </row>
    <row r="330">
      <c r="L330" s="15"/>
    </row>
    <row r="331">
      <c r="L331" s="15"/>
    </row>
    <row r="332">
      <c r="L332" s="15"/>
    </row>
    <row r="333">
      <c r="L333" s="15"/>
    </row>
    <row r="334">
      <c r="L334" s="15"/>
    </row>
    <row r="335">
      <c r="L335" s="15"/>
    </row>
    <row r="336">
      <c r="L336" s="15"/>
    </row>
    <row r="337">
      <c r="L337" s="15"/>
    </row>
    <row r="338">
      <c r="L338" s="15"/>
    </row>
    <row r="339">
      <c r="L339" s="15"/>
    </row>
    <row r="340">
      <c r="L340" s="15"/>
    </row>
    <row r="341">
      <c r="L341" s="15"/>
    </row>
    <row r="342">
      <c r="L342" s="15"/>
    </row>
    <row r="343">
      <c r="L343" s="15"/>
    </row>
    <row r="344">
      <c r="L344" s="15"/>
    </row>
    <row r="345">
      <c r="L345" s="15"/>
    </row>
    <row r="346">
      <c r="L346" s="15"/>
    </row>
    <row r="347">
      <c r="L347" s="15"/>
    </row>
    <row r="348">
      <c r="L348" s="15"/>
    </row>
    <row r="349">
      <c r="L349" s="15"/>
    </row>
    <row r="350">
      <c r="L350" s="15"/>
    </row>
    <row r="351">
      <c r="L351" s="15"/>
    </row>
    <row r="352">
      <c r="L352" s="15"/>
    </row>
    <row r="353">
      <c r="L353" s="15"/>
    </row>
    <row r="354">
      <c r="L354" s="15"/>
    </row>
    <row r="355">
      <c r="L355" s="15"/>
    </row>
    <row r="356">
      <c r="L356" s="15"/>
    </row>
    <row r="357">
      <c r="L357" s="15"/>
    </row>
    <row r="358">
      <c r="L358" s="15"/>
    </row>
    <row r="359">
      <c r="L359" s="15"/>
    </row>
    <row r="360">
      <c r="L360" s="15"/>
    </row>
    <row r="361">
      <c r="L361" s="15"/>
    </row>
    <row r="362">
      <c r="L362" s="15"/>
    </row>
    <row r="363">
      <c r="L363" s="15"/>
    </row>
    <row r="364">
      <c r="L364" s="15"/>
    </row>
    <row r="365">
      <c r="L365" s="15"/>
    </row>
    <row r="366">
      <c r="L366" s="15"/>
    </row>
    <row r="367">
      <c r="L367" s="15"/>
    </row>
    <row r="368">
      <c r="L368" s="15"/>
    </row>
    <row r="369">
      <c r="L369" s="15"/>
    </row>
    <row r="370">
      <c r="L370" s="15"/>
    </row>
    <row r="371">
      <c r="L371" s="15"/>
    </row>
    <row r="372">
      <c r="L372" s="15"/>
    </row>
    <row r="373">
      <c r="L373" s="15"/>
    </row>
    <row r="374">
      <c r="L374" s="15"/>
    </row>
    <row r="375">
      <c r="L375" s="15"/>
    </row>
    <row r="376">
      <c r="L376" s="15"/>
    </row>
    <row r="377">
      <c r="L377" s="15"/>
    </row>
    <row r="378">
      <c r="L378" s="15"/>
    </row>
    <row r="379">
      <c r="L379" s="15"/>
    </row>
    <row r="380">
      <c r="L380" s="15"/>
    </row>
    <row r="381">
      <c r="L381" s="15"/>
    </row>
    <row r="382">
      <c r="L382" s="15"/>
    </row>
    <row r="383">
      <c r="L383" s="15"/>
    </row>
    <row r="384">
      <c r="L384" s="15"/>
    </row>
    <row r="385">
      <c r="L385" s="15"/>
    </row>
    <row r="386">
      <c r="L386" s="15"/>
    </row>
    <row r="387">
      <c r="L387" s="15"/>
    </row>
    <row r="388">
      <c r="L388" s="15"/>
    </row>
    <row r="389">
      <c r="L389" s="15"/>
    </row>
    <row r="390">
      <c r="L390" s="15"/>
    </row>
    <row r="391">
      <c r="L391" s="15"/>
    </row>
    <row r="392">
      <c r="L392" s="15"/>
    </row>
    <row r="393">
      <c r="L393" s="15"/>
    </row>
    <row r="394">
      <c r="L394" s="15"/>
    </row>
    <row r="395">
      <c r="L395" s="15"/>
    </row>
    <row r="396">
      <c r="L396" s="15"/>
    </row>
    <row r="397">
      <c r="L397" s="15"/>
    </row>
    <row r="398">
      <c r="L398" s="15"/>
    </row>
    <row r="399">
      <c r="L399" s="15"/>
    </row>
    <row r="400">
      <c r="L400" s="15"/>
    </row>
    <row r="401">
      <c r="L401" s="15"/>
    </row>
    <row r="402">
      <c r="L402" s="15"/>
    </row>
    <row r="403">
      <c r="L403" s="15"/>
    </row>
    <row r="404">
      <c r="L404" s="15"/>
    </row>
    <row r="405">
      <c r="L405" s="15"/>
    </row>
    <row r="406">
      <c r="L406" s="15"/>
    </row>
    <row r="407">
      <c r="L407" s="15"/>
    </row>
    <row r="408">
      <c r="L408" s="15"/>
    </row>
    <row r="409">
      <c r="L409" s="15"/>
    </row>
    <row r="410">
      <c r="L410" s="15"/>
    </row>
    <row r="411">
      <c r="L411" s="15"/>
    </row>
    <row r="412">
      <c r="L412" s="15"/>
    </row>
    <row r="413">
      <c r="L413" s="15"/>
    </row>
    <row r="414">
      <c r="L414" s="15"/>
    </row>
    <row r="415">
      <c r="L415" s="15"/>
    </row>
    <row r="416">
      <c r="L416" s="15"/>
    </row>
    <row r="417">
      <c r="L417" s="15"/>
    </row>
    <row r="418">
      <c r="L418" s="15"/>
    </row>
    <row r="419">
      <c r="L419" s="15"/>
    </row>
    <row r="420">
      <c r="L420" s="15"/>
    </row>
    <row r="421">
      <c r="L421" s="15"/>
    </row>
    <row r="422">
      <c r="L422" s="15"/>
    </row>
    <row r="423">
      <c r="L423" s="15"/>
    </row>
    <row r="424">
      <c r="L424" s="15"/>
    </row>
    <row r="425">
      <c r="L425" s="15"/>
    </row>
    <row r="426">
      <c r="L426" s="15"/>
    </row>
    <row r="427">
      <c r="L427" s="15"/>
    </row>
    <row r="428">
      <c r="L428" s="15"/>
    </row>
    <row r="429">
      <c r="L429" s="15"/>
    </row>
    <row r="430">
      <c r="L430" s="15"/>
    </row>
    <row r="431">
      <c r="L431" s="15"/>
    </row>
    <row r="432">
      <c r="L432" s="15"/>
    </row>
    <row r="433">
      <c r="L433" s="15"/>
    </row>
    <row r="434">
      <c r="L434" s="15"/>
    </row>
    <row r="435">
      <c r="L435" s="15"/>
    </row>
    <row r="436">
      <c r="L436" s="15"/>
    </row>
    <row r="437">
      <c r="L437" s="15"/>
    </row>
    <row r="438">
      <c r="L438" s="15"/>
    </row>
    <row r="439">
      <c r="L439" s="15"/>
    </row>
    <row r="440">
      <c r="L440" s="15"/>
    </row>
    <row r="441">
      <c r="L441" s="15"/>
    </row>
    <row r="442">
      <c r="L442" s="15"/>
    </row>
    <row r="443">
      <c r="L443" s="15"/>
    </row>
    <row r="444">
      <c r="L444" s="15"/>
    </row>
    <row r="445">
      <c r="L445" s="15"/>
    </row>
    <row r="446">
      <c r="L446" s="15"/>
    </row>
    <row r="447">
      <c r="L447" s="15"/>
    </row>
    <row r="448">
      <c r="L448" s="15"/>
    </row>
    <row r="449">
      <c r="L449" s="15"/>
    </row>
    <row r="450">
      <c r="L450" s="15"/>
    </row>
    <row r="451">
      <c r="L451" s="15"/>
    </row>
    <row r="452">
      <c r="L452" s="15"/>
    </row>
    <row r="453">
      <c r="L453" s="15"/>
    </row>
    <row r="454">
      <c r="L454" s="15"/>
    </row>
    <row r="455">
      <c r="L455" s="15"/>
    </row>
    <row r="456">
      <c r="L456" s="15"/>
    </row>
    <row r="457">
      <c r="L457" s="15"/>
    </row>
    <row r="458">
      <c r="L458" s="15"/>
    </row>
    <row r="459">
      <c r="L459" s="15"/>
    </row>
    <row r="460">
      <c r="L460" s="15"/>
    </row>
    <row r="461">
      <c r="L461" s="15"/>
    </row>
    <row r="462">
      <c r="L462" s="15"/>
    </row>
    <row r="463">
      <c r="L463" s="15"/>
    </row>
    <row r="464">
      <c r="L464" s="15"/>
    </row>
    <row r="465">
      <c r="L465" s="15"/>
    </row>
    <row r="466">
      <c r="L466" s="15"/>
    </row>
    <row r="467">
      <c r="L467" s="15"/>
    </row>
    <row r="468">
      <c r="L468" s="15"/>
    </row>
    <row r="469">
      <c r="L469" s="15"/>
    </row>
    <row r="470">
      <c r="L470" s="15"/>
    </row>
    <row r="471">
      <c r="L471" s="15"/>
    </row>
    <row r="472">
      <c r="L472" s="15"/>
    </row>
    <row r="473">
      <c r="L473" s="15"/>
    </row>
    <row r="474">
      <c r="L474" s="15"/>
    </row>
    <row r="475">
      <c r="L475" s="15"/>
    </row>
    <row r="476">
      <c r="L476" s="15"/>
    </row>
    <row r="477">
      <c r="L477" s="15"/>
    </row>
    <row r="478">
      <c r="L478" s="15"/>
    </row>
    <row r="479">
      <c r="L479" s="15"/>
    </row>
    <row r="480">
      <c r="L480" s="15"/>
    </row>
    <row r="481">
      <c r="L481" s="15"/>
    </row>
    <row r="482">
      <c r="L482" s="15"/>
    </row>
    <row r="483">
      <c r="L483" s="15"/>
    </row>
    <row r="484">
      <c r="L484" s="15"/>
    </row>
    <row r="485">
      <c r="L485" s="15"/>
    </row>
    <row r="486">
      <c r="L486" s="15"/>
    </row>
    <row r="487">
      <c r="L487" s="15"/>
    </row>
    <row r="488">
      <c r="L488" s="15"/>
    </row>
    <row r="489">
      <c r="L489" s="15"/>
    </row>
    <row r="490">
      <c r="L490" s="15"/>
    </row>
    <row r="491">
      <c r="L491" s="15"/>
    </row>
    <row r="492">
      <c r="L492" s="15"/>
    </row>
    <row r="493">
      <c r="L493" s="15"/>
    </row>
    <row r="494">
      <c r="L494" s="15"/>
    </row>
    <row r="495">
      <c r="L495" s="15"/>
    </row>
    <row r="496">
      <c r="L496" s="15"/>
    </row>
    <row r="497">
      <c r="L497" s="15"/>
    </row>
    <row r="498">
      <c r="L498" s="15"/>
    </row>
    <row r="499">
      <c r="L499" s="15"/>
    </row>
    <row r="500">
      <c r="L500" s="15"/>
    </row>
    <row r="501">
      <c r="L501" s="15"/>
    </row>
    <row r="502">
      <c r="L502" s="15"/>
    </row>
    <row r="503">
      <c r="L503" s="15"/>
    </row>
    <row r="504">
      <c r="L504" s="15"/>
    </row>
    <row r="505">
      <c r="L505" s="15"/>
    </row>
    <row r="506">
      <c r="L506" s="15"/>
    </row>
    <row r="507">
      <c r="L507" s="15"/>
    </row>
    <row r="508">
      <c r="L508" s="15"/>
    </row>
    <row r="509">
      <c r="L509" s="15"/>
    </row>
    <row r="510">
      <c r="L510" s="15"/>
    </row>
    <row r="511">
      <c r="L511" s="15"/>
    </row>
    <row r="512">
      <c r="L512" s="15"/>
    </row>
    <row r="513">
      <c r="L513" s="15"/>
    </row>
    <row r="514">
      <c r="L514" s="15"/>
    </row>
    <row r="515">
      <c r="L515" s="15"/>
    </row>
    <row r="516">
      <c r="L516" s="15"/>
    </row>
    <row r="517">
      <c r="L517" s="15"/>
    </row>
    <row r="518">
      <c r="L518" s="15"/>
    </row>
    <row r="519">
      <c r="L519" s="15"/>
    </row>
    <row r="520">
      <c r="L520" s="15"/>
    </row>
    <row r="521">
      <c r="L521" s="15"/>
    </row>
    <row r="522">
      <c r="L522" s="15"/>
    </row>
    <row r="523">
      <c r="L523" s="15"/>
    </row>
    <row r="524">
      <c r="L524" s="15"/>
    </row>
    <row r="525">
      <c r="L525" s="15"/>
    </row>
    <row r="526">
      <c r="L526" s="15"/>
    </row>
    <row r="527">
      <c r="L527" s="15"/>
    </row>
    <row r="528">
      <c r="L528" s="15"/>
    </row>
    <row r="529">
      <c r="L529" s="15"/>
    </row>
    <row r="530">
      <c r="L530" s="15"/>
    </row>
    <row r="531">
      <c r="L531" s="15"/>
    </row>
    <row r="532">
      <c r="L532" s="15"/>
    </row>
    <row r="533">
      <c r="L533" s="15"/>
    </row>
    <row r="534">
      <c r="L534" s="15"/>
    </row>
    <row r="535">
      <c r="L535" s="15"/>
    </row>
    <row r="536">
      <c r="L536" s="15"/>
    </row>
    <row r="537">
      <c r="L537" s="15"/>
    </row>
    <row r="538">
      <c r="L538" s="15"/>
    </row>
    <row r="539">
      <c r="L539" s="15"/>
    </row>
    <row r="540">
      <c r="L540" s="15"/>
    </row>
    <row r="541">
      <c r="L541" s="15"/>
    </row>
    <row r="542">
      <c r="L542" s="15"/>
    </row>
    <row r="543">
      <c r="L543" s="15"/>
    </row>
    <row r="544">
      <c r="L544" s="15"/>
    </row>
    <row r="545">
      <c r="L545" s="15"/>
    </row>
    <row r="546">
      <c r="L546" s="15"/>
    </row>
    <row r="547">
      <c r="L547" s="15"/>
    </row>
    <row r="548">
      <c r="L548" s="15"/>
    </row>
    <row r="549">
      <c r="L549" s="15"/>
    </row>
    <row r="550">
      <c r="L550" s="15"/>
    </row>
    <row r="551">
      <c r="L551" s="15"/>
    </row>
    <row r="552">
      <c r="L552" s="15"/>
    </row>
    <row r="553">
      <c r="L553" s="15"/>
    </row>
    <row r="554">
      <c r="L554" s="15"/>
    </row>
    <row r="555">
      <c r="L555" s="15"/>
    </row>
    <row r="556">
      <c r="L556" s="15"/>
    </row>
    <row r="557">
      <c r="L557" s="15"/>
    </row>
    <row r="558">
      <c r="L558" s="15"/>
    </row>
    <row r="559">
      <c r="L559" s="15"/>
    </row>
    <row r="560">
      <c r="L560" s="15"/>
    </row>
    <row r="561">
      <c r="L561" s="15"/>
    </row>
    <row r="562">
      <c r="L562" s="15"/>
    </row>
    <row r="563">
      <c r="L563" s="15"/>
    </row>
    <row r="564">
      <c r="L564" s="15"/>
    </row>
    <row r="565">
      <c r="L565" s="15"/>
    </row>
    <row r="566">
      <c r="L566" s="15"/>
    </row>
    <row r="567">
      <c r="L567" s="15"/>
    </row>
    <row r="568">
      <c r="L568" s="15"/>
    </row>
    <row r="569">
      <c r="L569" s="15"/>
    </row>
    <row r="570">
      <c r="L570" s="15"/>
    </row>
    <row r="571">
      <c r="L571" s="15"/>
    </row>
    <row r="572">
      <c r="L572" s="15"/>
    </row>
    <row r="573">
      <c r="L573" s="15"/>
    </row>
    <row r="574">
      <c r="L574" s="15"/>
    </row>
    <row r="575">
      <c r="L575" s="15"/>
    </row>
    <row r="576">
      <c r="L576" s="15"/>
    </row>
    <row r="577">
      <c r="L577" s="15"/>
    </row>
    <row r="578">
      <c r="L578" s="15"/>
    </row>
    <row r="579">
      <c r="L579" s="15"/>
    </row>
    <row r="580">
      <c r="L580" s="15"/>
    </row>
    <row r="581">
      <c r="L581" s="15"/>
    </row>
    <row r="582">
      <c r="L582" s="15"/>
    </row>
    <row r="583">
      <c r="L583" s="15"/>
    </row>
    <row r="584">
      <c r="L584" s="15"/>
    </row>
    <row r="585">
      <c r="L585" s="15"/>
    </row>
    <row r="586">
      <c r="L586" s="15"/>
    </row>
    <row r="587">
      <c r="L587" s="15"/>
    </row>
    <row r="588">
      <c r="L588" s="15"/>
    </row>
    <row r="589">
      <c r="L589" s="15"/>
    </row>
    <row r="590">
      <c r="L590" s="15"/>
    </row>
    <row r="591">
      <c r="L591" s="15"/>
    </row>
    <row r="592">
      <c r="L592" s="15"/>
    </row>
    <row r="593">
      <c r="L593" s="15"/>
    </row>
    <row r="594">
      <c r="L594" s="15"/>
    </row>
    <row r="595">
      <c r="L595" s="15"/>
    </row>
    <row r="596">
      <c r="L596" s="15"/>
    </row>
    <row r="597">
      <c r="L597" s="15"/>
    </row>
    <row r="598">
      <c r="L598" s="15"/>
    </row>
    <row r="599">
      <c r="L599" s="15"/>
    </row>
    <row r="600">
      <c r="L600" s="15"/>
    </row>
    <row r="601">
      <c r="L601" s="15"/>
    </row>
    <row r="602">
      <c r="L602" s="15"/>
    </row>
    <row r="603">
      <c r="L603" s="15"/>
    </row>
    <row r="604">
      <c r="L604" s="15"/>
    </row>
    <row r="605">
      <c r="L605" s="15"/>
    </row>
    <row r="606">
      <c r="L606" s="15"/>
    </row>
    <row r="607">
      <c r="L607" s="15"/>
    </row>
    <row r="608">
      <c r="L608" s="15"/>
    </row>
    <row r="609">
      <c r="L609" s="15"/>
    </row>
    <row r="610">
      <c r="L610" s="15"/>
    </row>
    <row r="611">
      <c r="L611" s="15"/>
    </row>
    <row r="612">
      <c r="L612" s="15"/>
    </row>
    <row r="613">
      <c r="L613" s="15"/>
    </row>
    <row r="614">
      <c r="L614" s="15"/>
    </row>
    <row r="615">
      <c r="L615" s="15"/>
    </row>
    <row r="616">
      <c r="L616" s="15"/>
    </row>
    <row r="617">
      <c r="L617" s="15"/>
    </row>
    <row r="618">
      <c r="L618" s="15"/>
    </row>
    <row r="619">
      <c r="L619" s="15"/>
    </row>
    <row r="620">
      <c r="L620" s="15"/>
    </row>
    <row r="621">
      <c r="L621" s="15"/>
    </row>
    <row r="622">
      <c r="L622" s="15"/>
    </row>
    <row r="623">
      <c r="L623" s="15"/>
    </row>
    <row r="624">
      <c r="L624" s="15"/>
    </row>
    <row r="625">
      <c r="L625" s="15"/>
    </row>
    <row r="626">
      <c r="L626" s="15"/>
    </row>
    <row r="627">
      <c r="L627" s="15"/>
    </row>
    <row r="628">
      <c r="L628" s="15"/>
    </row>
    <row r="629">
      <c r="L629" s="15"/>
    </row>
    <row r="630">
      <c r="L630" s="15"/>
    </row>
    <row r="631">
      <c r="L631" s="15"/>
    </row>
    <row r="632">
      <c r="L632" s="15"/>
    </row>
    <row r="633">
      <c r="L633" s="15"/>
    </row>
    <row r="634">
      <c r="L634" s="15"/>
    </row>
    <row r="635">
      <c r="L635" s="15"/>
    </row>
    <row r="636">
      <c r="L636" s="15"/>
    </row>
    <row r="637">
      <c r="L637" s="15"/>
    </row>
    <row r="638">
      <c r="L638" s="15"/>
    </row>
    <row r="639">
      <c r="L639" s="15"/>
    </row>
    <row r="640">
      <c r="L640" s="15"/>
    </row>
    <row r="641">
      <c r="L641" s="15"/>
    </row>
    <row r="642">
      <c r="L642" s="15"/>
    </row>
    <row r="643">
      <c r="L643" s="15"/>
    </row>
    <row r="644">
      <c r="L644" s="15"/>
    </row>
    <row r="645">
      <c r="L645" s="15"/>
    </row>
    <row r="646">
      <c r="L646" s="15"/>
    </row>
    <row r="647">
      <c r="L647" s="15"/>
    </row>
    <row r="648">
      <c r="L648" s="15"/>
    </row>
    <row r="649">
      <c r="L649" s="15"/>
    </row>
    <row r="650">
      <c r="L650" s="15"/>
    </row>
    <row r="651">
      <c r="L651" s="15"/>
    </row>
    <row r="652">
      <c r="L652" s="15"/>
    </row>
    <row r="653">
      <c r="L653" s="15"/>
    </row>
    <row r="654">
      <c r="L654" s="15"/>
    </row>
    <row r="655">
      <c r="L655" s="15"/>
    </row>
    <row r="656">
      <c r="L656" s="15"/>
    </row>
    <row r="657">
      <c r="L657" s="15"/>
    </row>
    <row r="658">
      <c r="L658" s="15"/>
    </row>
    <row r="659">
      <c r="L659" s="15"/>
    </row>
    <row r="660">
      <c r="L660" s="15"/>
    </row>
    <row r="661">
      <c r="L661" s="15"/>
    </row>
    <row r="662">
      <c r="L662" s="15"/>
    </row>
    <row r="663">
      <c r="L663" s="15"/>
    </row>
    <row r="664">
      <c r="L664" s="15"/>
    </row>
    <row r="665">
      <c r="L665" s="15"/>
    </row>
    <row r="666">
      <c r="L666" s="15"/>
    </row>
    <row r="667">
      <c r="L667" s="15"/>
    </row>
    <row r="668">
      <c r="L668" s="15"/>
    </row>
    <row r="669">
      <c r="L669" s="15"/>
    </row>
    <row r="670">
      <c r="L670" s="15"/>
    </row>
    <row r="671">
      <c r="L671" s="15"/>
    </row>
    <row r="672">
      <c r="L672" s="15"/>
    </row>
    <row r="673">
      <c r="L673" s="15"/>
    </row>
    <row r="674">
      <c r="L674" s="15"/>
    </row>
    <row r="675">
      <c r="L675" s="15"/>
    </row>
    <row r="676">
      <c r="L676" s="15"/>
    </row>
    <row r="677">
      <c r="L677" s="15"/>
    </row>
    <row r="678">
      <c r="L678" s="15"/>
    </row>
    <row r="679">
      <c r="L679" s="15"/>
    </row>
    <row r="680">
      <c r="L680" s="15"/>
    </row>
    <row r="681">
      <c r="L681" s="15"/>
    </row>
    <row r="682">
      <c r="L682" s="15"/>
    </row>
    <row r="683">
      <c r="L683" s="15"/>
    </row>
    <row r="684">
      <c r="L684" s="15"/>
    </row>
    <row r="685">
      <c r="L685" s="15"/>
    </row>
    <row r="686">
      <c r="L686" s="15"/>
    </row>
    <row r="687">
      <c r="L687" s="15"/>
    </row>
    <row r="688">
      <c r="L688" s="15"/>
    </row>
    <row r="689">
      <c r="L689" s="15"/>
    </row>
    <row r="690">
      <c r="L690" s="15"/>
    </row>
    <row r="691">
      <c r="L691" s="15"/>
    </row>
    <row r="692">
      <c r="L692" s="15"/>
    </row>
    <row r="693">
      <c r="L693" s="15"/>
    </row>
    <row r="694">
      <c r="L694" s="15"/>
    </row>
    <row r="695">
      <c r="L695" s="15"/>
    </row>
    <row r="696">
      <c r="L696" s="15"/>
    </row>
    <row r="697">
      <c r="L697" s="15"/>
    </row>
    <row r="698">
      <c r="L698" s="15"/>
    </row>
    <row r="699">
      <c r="L699" s="15"/>
    </row>
    <row r="700">
      <c r="L700" s="15"/>
    </row>
    <row r="701">
      <c r="L701" s="15"/>
    </row>
    <row r="702">
      <c r="L702" s="15"/>
    </row>
    <row r="703">
      <c r="L703" s="15"/>
    </row>
    <row r="704">
      <c r="L704" s="15"/>
    </row>
    <row r="705">
      <c r="L705" s="15"/>
    </row>
    <row r="706">
      <c r="L706" s="15"/>
    </row>
    <row r="707">
      <c r="L707" s="15"/>
    </row>
    <row r="708">
      <c r="L708" s="15"/>
    </row>
    <row r="709">
      <c r="L709" s="15"/>
    </row>
    <row r="710">
      <c r="L710" s="15"/>
    </row>
    <row r="711">
      <c r="L711" s="15"/>
    </row>
    <row r="712">
      <c r="L712" s="15"/>
    </row>
    <row r="713">
      <c r="L713" s="15"/>
    </row>
    <row r="714">
      <c r="L714" s="15"/>
    </row>
    <row r="715">
      <c r="L715" s="15"/>
    </row>
    <row r="716">
      <c r="L716" s="15"/>
    </row>
    <row r="717">
      <c r="L717" s="15"/>
    </row>
    <row r="718">
      <c r="L718" s="15"/>
    </row>
    <row r="719">
      <c r="L719" s="15"/>
    </row>
    <row r="720">
      <c r="L720" s="15"/>
    </row>
    <row r="721">
      <c r="L721" s="15"/>
    </row>
    <row r="722">
      <c r="L722" s="15"/>
    </row>
    <row r="723">
      <c r="L723" s="15"/>
    </row>
    <row r="724">
      <c r="L724" s="15"/>
    </row>
    <row r="725">
      <c r="L725" s="15"/>
    </row>
    <row r="726">
      <c r="L726" s="15"/>
    </row>
    <row r="727">
      <c r="L727" s="15"/>
    </row>
    <row r="728">
      <c r="L728" s="15"/>
    </row>
    <row r="729">
      <c r="L729" s="15"/>
    </row>
    <row r="730">
      <c r="L730" s="15"/>
    </row>
    <row r="731">
      <c r="L731" s="15"/>
    </row>
    <row r="732">
      <c r="L732" s="15"/>
    </row>
    <row r="733">
      <c r="L733" s="15"/>
    </row>
    <row r="734">
      <c r="L734" s="15"/>
    </row>
    <row r="735">
      <c r="L735" s="15"/>
    </row>
    <row r="736">
      <c r="L736" s="15"/>
    </row>
    <row r="737">
      <c r="L737" s="15"/>
    </row>
    <row r="738">
      <c r="L738" s="15"/>
    </row>
    <row r="739">
      <c r="L739" s="15"/>
    </row>
    <row r="740">
      <c r="L740" s="15"/>
    </row>
    <row r="741">
      <c r="L741" s="15"/>
    </row>
    <row r="742">
      <c r="L742" s="15"/>
    </row>
    <row r="743">
      <c r="L743" s="15"/>
    </row>
    <row r="744">
      <c r="L744" s="15"/>
    </row>
    <row r="745">
      <c r="L745" s="15"/>
    </row>
    <row r="746">
      <c r="L746" s="15"/>
    </row>
    <row r="747">
      <c r="L747" s="15"/>
    </row>
    <row r="748">
      <c r="L748" s="15"/>
    </row>
    <row r="749">
      <c r="L749" s="15"/>
    </row>
    <row r="750">
      <c r="L750" s="15"/>
    </row>
    <row r="751">
      <c r="L751" s="15"/>
    </row>
    <row r="752">
      <c r="L752" s="15"/>
    </row>
    <row r="753">
      <c r="L753" s="15"/>
    </row>
    <row r="754">
      <c r="L754" s="15"/>
    </row>
    <row r="755">
      <c r="L755" s="15"/>
    </row>
    <row r="756">
      <c r="L756" s="15"/>
    </row>
    <row r="757">
      <c r="L757" s="15"/>
    </row>
    <row r="758">
      <c r="L758" s="15"/>
    </row>
    <row r="759">
      <c r="L759" s="15"/>
    </row>
    <row r="760">
      <c r="L760" s="15"/>
    </row>
    <row r="761">
      <c r="L761" s="15"/>
    </row>
    <row r="762">
      <c r="L762" s="15"/>
    </row>
    <row r="763">
      <c r="L763" s="15"/>
    </row>
    <row r="764">
      <c r="L764" s="15"/>
    </row>
    <row r="765">
      <c r="L765" s="15"/>
    </row>
    <row r="766">
      <c r="L766" s="15"/>
    </row>
    <row r="767">
      <c r="L767" s="15"/>
    </row>
    <row r="768">
      <c r="L768" s="15"/>
    </row>
    <row r="769">
      <c r="L769" s="15"/>
    </row>
    <row r="770">
      <c r="L770" s="15"/>
    </row>
    <row r="771">
      <c r="L771" s="15"/>
    </row>
    <row r="772">
      <c r="L772" s="15"/>
    </row>
    <row r="773">
      <c r="L773" s="15"/>
    </row>
    <row r="774">
      <c r="L774" s="15"/>
    </row>
    <row r="775">
      <c r="L775" s="15"/>
    </row>
    <row r="776">
      <c r="L776" s="15"/>
    </row>
    <row r="777">
      <c r="L777" s="15"/>
    </row>
    <row r="778">
      <c r="L778" s="15"/>
    </row>
    <row r="779">
      <c r="L779" s="15"/>
    </row>
    <row r="780">
      <c r="L780" s="15"/>
    </row>
    <row r="781">
      <c r="L781" s="15"/>
    </row>
    <row r="782">
      <c r="L782" s="15"/>
    </row>
    <row r="783">
      <c r="L783" s="15"/>
    </row>
    <row r="784">
      <c r="L784" s="15"/>
    </row>
    <row r="785">
      <c r="L785" s="15"/>
    </row>
    <row r="786">
      <c r="L786" s="15"/>
    </row>
    <row r="787">
      <c r="L787" s="15"/>
    </row>
    <row r="788">
      <c r="L788" s="15"/>
    </row>
    <row r="789">
      <c r="L789" s="15"/>
    </row>
    <row r="790">
      <c r="L790" s="15"/>
    </row>
    <row r="791">
      <c r="L791" s="15"/>
    </row>
    <row r="792">
      <c r="L792" s="15"/>
    </row>
    <row r="793">
      <c r="L793" s="15"/>
    </row>
    <row r="794">
      <c r="L794" s="15"/>
    </row>
    <row r="795">
      <c r="L795" s="15"/>
    </row>
    <row r="796">
      <c r="L796" s="15"/>
    </row>
    <row r="797">
      <c r="L797" s="15"/>
    </row>
    <row r="798">
      <c r="L798" s="15"/>
    </row>
    <row r="799">
      <c r="L799" s="15"/>
    </row>
    <row r="800">
      <c r="L800" s="15"/>
    </row>
    <row r="801">
      <c r="L801" s="15"/>
    </row>
    <row r="802">
      <c r="L802" s="15"/>
    </row>
    <row r="803">
      <c r="L803" s="15"/>
    </row>
    <row r="804">
      <c r="L804" s="15"/>
    </row>
    <row r="805">
      <c r="L805" s="15"/>
    </row>
    <row r="806">
      <c r="L806" s="15"/>
    </row>
    <row r="807">
      <c r="L807" s="15"/>
    </row>
    <row r="808">
      <c r="L808" s="15"/>
    </row>
    <row r="809">
      <c r="L809" s="15"/>
    </row>
    <row r="810">
      <c r="L810" s="15"/>
    </row>
    <row r="811">
      <c r="L811" s="15"/>
    </row>
    <row r="812">
      <c r="L812" s="15"/>
    </row>
    <row r="813">
      <c r="L813" s="15"/>
    </row>
    <row r="814">
      <c r="L814" s="15"/>
    </row>
    <row r="815">
      <c r="L815" s="15"/>
    </row>
    <row r="816">
      <c r="L816" s="15"/>
    </row>
    <row r="817">
      <c r="L817" s="15"/>
    </row>
    <row r="818">
      <c r="L818" s="15"/>
    </row>
    <row r="819">
      <c r="L819" s="15"/>
    </row>
    <row r="820">
      <c r="L820" s="15"/>
    </row>
    <row r="821">
      <c r="L821" s="15"/>
    </row>
    <row r="822">
      <c r="L822" s="15"/>
    </row>
    <row r="823">
      <c r="L823" s="15"/>
    </row>
    <row r="824">
      <c r="L824" s="15"/>
    </row>
    <row r="825">
      <c r="L825" s="15"/>
    </row>
    <row r="826">
      <c r="L826" s="15"/>
    </row>
    <row r="827">
      <c r="L827" s="15"/>
    </row>
    <row r="828">
      <c r="L828" s="15"/>
    </row>
    <row r="829">
      <c r="L829" s="15"/>
    </row>
    <row r="830">
      <c r="L830" s="15"/>
    </row>
    <row r="831">
      <c r="L831" s="15"/>
    </row>
    <row r="832">
      <c r="L832" s="15"/>
    </row>
    <row r="833">
      <c r="L833" s="15"/>
    </row>
    <row r="834">
      <c r="L834" s="15"/>
    </row>
    <row r="835">
      <c r="L835" s="15"/>
    </row>
    <row r="836">
      <c r="L836" s="15"/>
    </row>
    <row r="837">
      <c r="L837" s="15"/>
    </row>
    <row r="838">
      <c r="L838" s="15"/>
    </row>
    <row r="839">
      <c r="L839" s="15"/>
    </row>
    <row r="840">
      <c r="L840" s="15"/>
    </row>
    <row r="841">
      <c r="L841" s="15"/>
    </row>
    <row r="842">
      <c r="L842" s="15"/>
    </row>
    <row r="843">
      <c r="L843" s="15"/>
    </row>
    <row r="844">
      <c r="L844" s="15"/>
    </row>
    <row r="845">
      <c r="L845" s="15"/>
    </row>
    <row r="846">
      <c r="L846" s="15"/>
    </row>
    <row r="847">
      <c r="L847" s="15"/>
    </row>
    <row r="848">
      <c r="L848" s="15"/>
    </row>
    <row r="849">
      <c r="L849" s="15"/>
    </row>
    <row r="850">
      <c r="L850" s="15"/>
    </row>
    <row r="851">
      <c r="L851" s="15"/>
    </row>
    <row r="852">
      <c r="L852" s="15"/>
    </row>
    <row r="853">
      <c r="L853" s="15"/>
    </row>
    <row r="854">
      <c r="L854" s="15"/>
    </row>
    <row r="855">
      <c r="L855" s="15"/>
    </row>
    <row r="856">
      <c r="L856" s="15"/>
    </row>
    <row r="857">
      <c r="L857" s="15"/>
    </row>
    <row r="858">
      <c r="L858" s="15"/>
    </row>
    <row r="859">
      <c r="L859" s="15"/>
    </row>
    <row r="860">
      <c r="L860" s="15"/>
    </row>
    <row r="861">
      <c r="L861" s="15"/>
    </row>
    <row r="862">
      <c r="L862" s="15"/>
    </row>
    <row r="863">
      <c r="L863" s="15"/>
    </row>
    <row r="864">
      <c r="L864" s="15"/>
    </row>
    <row r="865">
      <c r="L865" s="15"/>
    </row>
    <row r="866">
      <c r="L866" s="15"/>
    </row>
    <row r="867">
      <c r="L867" s="15"/>
    </row>
    <row r="868">
      <c r="L868" s="15"/>
    </row>
    <row r="869">
      <c r="L869" s="15"/>
    </row>
    <row r="870">
      <c r="L870" s="15"/>
    </row>
    <row r="871">
      <c r="L871" s="15"/>
    </row>
    <row r="872">
      <c r="L872" s="15"/>
    </row>
    <row r="873">
      <c r="L873" s="15"/>
    </row>
    <row r="874">
      <c r="L874" s="15"/>
    </row>
    <row r="875">
      <c r="L875" s="15"/>
    </row>
    <row r="876">
      <c r="L876" s="15"/>
    </row>
    <row r="877">
      <c r="L877" s="15"/>
    </row>
    <row r="878">
      <c r="L878" s="15"/>
    </row>
    <row r="879">
      <c r="L879" s="15"/>
    </row>
    <row r="880">
      <c r="L880" s="15"/>
    </row>
    <row r="881">
      <c r="L881" s="15"/>
    </row>
    <row r="882">
      <c r="L882" s="15"/>
    </row>
    <row r="883">
      <c r="L883" s="15"/>
    </row>
    <row r="884">
      <c r="L884" s="15"/>
    </row>
    <row r="885">
      <c r="L885" s="15"/>
    </row>
    <row r="886">
      <c r="L886" s="15"/>
    </row>
    <row r="887">
      <c r="L887" s="15"/>
    </row>
    <row r="888">
      <c r="L888" s="15"/>
    </row>
    <row r="889">
      <c r="L889" s="15"/>
    </row>
    <row r="890">
      <c r="L890" s="15"/>
    </row>
    <row r="891">
      <c r="L891" s="15"/>
    </row>
    <row r="892">
      <c r="L892" s="15"/>
    </row>
    <row r="893">
      <c r="L893" s="15"/>
    </row>
    <row r="894">
      <c r="L894" s="15"/>
    </row>
    <row r="895">
      <c r="L895" s="15"/>
    </row>
    <row r="896">
      <c r="L896" s="15"/>
    </row>
    <row r="897">
      <c r="L897" s="15"/>
    </row>
    <row r="898">
      <c r="L898" s="15"/>
    </row>
    <row r="899">
      <c r="L899" s="15"/>
    </row>
    <row r="900">
      <c r="L900" s="15"/>
    </row>
    <row r="901">
      <c r="L901" s="15"/>
    </row>
    <row r="902">
      <c r="L902" s="15"/>
    </row>
    <row r="903">
      <c r="L903" s="15"/>
    </row>
    <row r="904">
      <c r="L904" s="15"/>
    </row>
    <row r="905">
      <c r="L905" s="15"/>
    </row>
    <row r="906">
      <c r="L906" s="15"/>
    </row>
    <row r="907">
      <c r="L907" s="15"/>
    </row>
    <row r="908">
      <c r="L908" s="15"/>
    </row>
    <row r="909">
      <c r="L909" s="15"/>
    </row>
    <row r="910">
      <c r="L910" s="15"/>
    </row>
    <row r="911">
      <c r="L911" s="15"/>
    </row>
    <row r="912">
      <c r="L912" s="15"/>
    </row>
    <row r="913">
      <c r="L913" s="15"/>
    </row>
    <row r="914">
      <c r="L914" s="15"/>
    </row>
    <row r="915">
      <c r="L915" s="15"/>
    </row>
    <row r="916">
      <c r="L916" s="15"/>
    </row>
    <row r="917">
      <c r="L917" s="15"/>
    </row>
    <row r="918">
      <c r="L918" s="15"/>
    </row>
    <row r="919">
      <c r="L919" s="15"/>
    </row>
    <row r="920">
      <c r="L920" s="15"/>
    </row>
    <row r="921">
      <c r="L921" s="15"/>
    </row>
    <row r="922">
      <c r="L922" s="15"/>
    </row>
    <row r="923">
      <c r="L923" s="15"/>
    </row>
    <row r="924">
      <c r="L924" s="15"/>
    </row>
    <row r="925">
      <c r="L925" s="15"/>
    </row>
    <row r="926">
      <c r="L926" s="15"/>
    </row>
    <row r="927">
      <c r="L927" s="15"/>
    </row>
    <row r="928">
      <c r="L928" s="15"/>
    </row>
    <row r="929">
      <c r="L929" s="15"/>
    </row>
    <row r="930">
      <c r="L930" s="15"/>
    </row>
    <row r="931">
      <c r="L931" s="15"/>
    </row>
    <row r="932">
      <c r="L932" s="15"/>
    </row>
    <row r="933">
      <c r="L933" s="15"/>
    </row>
    <row r="934">
      <c r="L934" s="15"/>
    </row>
    <row r="935">
      <c r="L935" s="15"/>
    </row>
    <row r="936">
      <c r="L936" s="15"/>
    </row>
    <row r="937">
      <c r="L937" s="15"/>
    </row>
    <row r="938">
      <c r="L938" s="15"/>
    </row>
    <row r="939">
      <c r="L939" s="15"/>
    </row>
    <row r="940">
      <c r="L940" s="15"/>
    </row>
    <row r="941">
      <c r="L941" s="15"/>
    </row>
    <row r="942">
      <c r="L942" s="15"/>
    </row>
    <row r="943">
      <c r="L943" s="15"/>
    </row>
    <row r="944">
      <c r="L944" s="15"/>
    </row>
    <row r="945">
      <c r="L945" s="15"/>
    </row>
    <row r="946">
      <c r="L946" s="15"/>
    </row>
    <row r="947">
      <c r="L947" s="15"/>
    </row>
    <row r="948">
      <c r="L948" s="15"/>
    </row>
    <row r="949">
      <c r="L949" s="15"/>
    </row>
    <row r="950">
      <c r="L950" s="15"/>
    </row>
    <row r="951">
      <c r="L951" s="15"/>
    </row>
    <row r="952">
      <c r="L952" s="15"/>
    </row>
    <row r="953">
      <c r="L953" s="15"/>
    </row>
    <row r="954">
      <c r="L954" s="15"/>
    </row>
    <row r="955">
      <c r="L955" s="15"/>
    </row>
    <row r="956">
      <c r="L956" s="15"/>
    </row>
    <row r="957">
      <c r="L957" s="15"/>
    </row>
    <row r="958">
      <c r="L958" s="15"/>
    </row>
    <row r="959">
      <c r="L959" s="15"/>
    </row>
    <row r="960">
      <c r="L960" s="15"/>
    </row>
    <row r="961">
      <c r="L961" s="15"/>
    </row>
    <row r="962">
      <c r="L962" s="15"/>
    </row>
    <row r="963">
      <c r="L963" s="15"/>
    </row>
    <row r="964">
      <c r="L964" s="15"/>
    </row>
    <row r="965">
      <c r="L965" s="15"/>
    </row>
    <row r="966">
      <c r="L966" s="15"/>
    </row>
    <row r="967">
      <c r="L967" s="15"/>
    </row>
    <row r="968">
      <c r="L968" s="15"/>
    </row>
    <row r="969">
      <c r="L969" s="15"/>
    </row>
    <row r="970">
      <c r="L970" s="15"/>
    </row>
    <row r="971">
      <c r="L971" s="15"/>
    </row>
    <row r="972">
      <c r="L972" s="15"/>
    </row>
    <row r="973">
      <c r="L973" s="15"/>
    </row>
    <row r="974">
      <c r="L974" s="15"/>
    </row>
    <row r="975">
      <c r="L975" s="15"/>
    </row>
    <row r="976">
      <c r="L976" s="15"/>
    </row>
    <row r="977">
      <c r="L977" s="15"/>
    </row>
    <row r="978">
      <c r="L978" s="15"/>
    </row>
    <row r="979">
      <c r="L979" s="15"/>
    </row>
    <row r="980">
      <c r="L980" s="15"/>
    </row>
    <row r="981">
      <c r="L981" s="15"/>
    </row>
    <row r="982">
      <c r="L982" s="15"/>
    </row>
    <row r="983">
      <c r="L983" s="15"/>
    </row>
    <row r="984">
      <c r="L984" s="15"/>
    </row>
    <row r="985">
      <c r="L985" s="15"/>
    </row>
    <row r="986">
      <c r="L986" s="15"/>
    </row>
    <row r="987">
      <c r="L987" s="15"/>
    </row>
    <row r="988">
      <c r="L988" s="15"/>
    </row>
    <row r="989">
      <c r="L989" s="15"/>
    </row>
    <row r="990">
      <c r="L990" s="15"/>
    </row>
    <row r="991">
      <c r="L991" s="15"/>
    </row>
    <row r="992">
      <c r="L992" s="15"/>
    </row>
    <row r="993">
      <c r="L993" s="15"/>
    </row>
    <row r="994">
      <c r="L994" s="15"/>
    </row>
    <row r="995">
      <c r="L995" s="15"/>
    </row>
    <row r="996">
      <c r="L996" s="15"/>
    </row>
    <row r="997">
      <c r="L997" s="15"/>
    </row>
    <row r="998">
      <c r="L998" s="15"/>
    </row>
    <row r="999">
      <c r="L999" s="15"/>
    </row>
    <row r="1000">
      <c r="L1000" s="15"/>
    </row>
  </sheetData>
  <conditionalFormatting sqref="L194:L289">
    <cfRule type="cellIs" dxfId="4" priority="1" operator="lessThan">
      <formula>0</formula>
    </cfRule>
  </conditionalFormatting>
  <conditionalFormatting sqref="N194:N289">
    <cfRule type="colorScale" priority="2">
      <colorScale>
        <cfvo type="min"/>
        <cfvo type="max"/>
        <color rgb="FFFFFFFF"/>
        <color rgb="FFEA9999"/>
      </colorScale>
    </cfRule>
  </conditionalFormatting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36.86"/>
  </cols>
  <sheetData>
    <row r="1">
      <c r="A1" s="23" t="s">
        <v>63</v>
      </c>
      <c r="B1" s="23" t="s">
        <v>47</v>
      </c>
    </row>
    <row r="2">
      <c r="A2" s="23" t="s">
        <v>64</v>
      </c>
      <c r="B2" s="23" t="s">
        <v>58</v>
      </c>
    </row>
    <row r="3">
      <c r="A3" s="23" t="s">
        <v>65</v>
      </c>
      <c r="B3" s="23" t="s">
        <v>55</v>
      </c>
    </row>
    <row r="4">
      <c r="A4" s="23" t="s">
        <v>66</v>
      </c>
      <c r="B4" s="23" t="s">
        <v>57</v>
      </c>
    </row>
    <row r="5">
      <c r="A5" s="23" t="s">
        <v>67</v>
      </c>
      <c r="B5" s="23" t="s">
        <v>56</v>
      </c>
    </row>
    <row r="6">
      <c r="A6" s="23" t="s">
        <v>68</v>
      </c>
      <c r="B6" s="23" t="s">
        <v>59</v>
      </c>
    </row>
    <row r="7">
      <c r="A7" s="23" t="s">
        <v>69</v>
      </c>
      <c r="B7" s="23" t="s">
        <v>60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6" max="6" width="23.86"/>
    <col customWidth="1" min="7" max="8" width="19.14"/>
    <col customWidth="1" min="9" max="19" width="27.57"/>
  </cols>
  <sheetData>
    <row r="1" ht="27.0" customHeight="1">
      <c r="A1" s="24" t="s">
        <v>2</v>
      </c>
      <c r="B1" s="24" t="s">
        <v>3</v>
      </c>
      <c r="C1" s="24" t="s">
        <v>4</v>
      </c>
      <c r="D1" s="24" t="s">
        <v>5</v>
      </c>
      <c r="E1" s="25" t="s">
        <v>70</v>
      </c>
      <c r="F1" s="25" t="s">
        <v>71</v>
      </c>
      <c r="G1" s="25" t="s">
        <v>72</v>
      </c>
      <c r="H1" s="25" t="s">
        <v>73</v>
      </c>
      <c r="I1" s="25" t="s">
        <v>74</v>
      </c>
      <c r="J1" s="25"/>
      <c r="K1" s="25"/>
      <c r="L1" s="25"/>
      <c r="M1" s="25"/>
      <c r="N1" s="25"/>
      <c r="O1" s="25"/>
      <c r="P1" s="25"/>
      <c r="Q1" s="25"/>
      <c r="R1" s="25"/>
      <c r="S1" s="25"/>
    </row>
    <row r="2">
      <c r="A2" s="3" t="s">
        <v>39</v>
      </c>
      <c r="B2" s="3" t="s">
        <v>13</v>
      </c>
      <c r="C2" s="3" t="s">
        <v>14</v>
      </c>
      <c r="D2" s="3">
        <v>110.0</v>
      </c>
      <c r="E2" s="23" t="s">
        <v>75</v>
      </c>
      <c r="F2" s="23">
        <v>0.05</v>
      </c>
      <c r="G2" s="26">
        <v>5.0E7</v>
      </c>
      <c r="H2" s="23" t="s">
        <v>76</v>
      </c>
      <c r="I2" s="26">
        <v>1.2E9</v>
      </c>
      <c r="J2" s="26"/>
      <c r="K2" s="26"/>
      <c r="L2" s="26"/>
      <c r="M2" s="26"/>
      <c r="N2" s="26"/>
      <c r="O2" s="26"/>
      <c r="P2" s="26"/>
      <c r="Q2" s="26"/>
      <c r="R2" s="26"/>
      <c r="S2" s="26"/>
    </row>
    <row r="3">
      <c r="A3" s="3" t="s">
        <v>39</v>
      </c>
      <c r="B3" s="3" t="s">
        <v>13</v>
      </c>
      <c r="C3" s="3" t="s">
        <v>14</v>
      </c>
      <c r="D3" s="3">
        <v>110.0</v>
      </c>
      <c r="E3" s="23" t="s">
        <v>77</v>
      </c>
      <c r="F3" s="23">
        <v>100000.0</v>
      </c>
      <c r="G3" s="26">
        <v>6000.0</v>
      </c>
      <c r="H3" s="23" t="s">
        <v>78</v>
      </c>
      <c r="I3" s="26">
        <v>1.2E9</v>
      </c>
      <c r="J3" s="26"/>
      <c r="K3" s="26"/>
      <c r="L3" s="26"/>
      <c r="M3" s="26"/>
      <c r="N3" s="26"/>
      <c r="O3" s="26"/>
      <c r="P3" s="26"/>
      <c r="Q3" s="26"/>
      <c r="R3" s="26"/>
      <c r="S3" s="26"/>
    </row>
    <row r="4">
      <c r="A4" s="3" t="s">
        <v>39</v>
      </c>
      <c r="B4" s="3" t="s">
        <v>13</v>
      </c>
      <c r="C4" s="3" t="s">
        <v>14</v>
      </c>
      <c r="D4" s="3">
        <v>110.0</v>
      </c>
      <c r="E4" s="23" t="s">
        <v>79</v>
      </c>
      <c r="F4" s="23">
        <v>100000.0</v>
      </c>
      <c r="G4" s="26">
        <v>3975.0</v>
      </c>
      <c r="H4" s="23" t="s">
        <v>78</v>
      </c>
      <c r="I4" s="26">
        <v>1.2E9</v>
      </c>
      <c r="J4" s="26"/>
      <c r="K4" s="26"/>
      <c r="L4" s="26"/>
      <c r="M4" s="26"/>
      <c r="N4" s="26"/>
      <c r="O4" s="26"/>
      <c r="P4" s="26"/>
      <c r="Q4" s="26"/>
      <c r="R4" s="26"/>
      <c r="S4" s="26"/>
    </row>
    <row r="5">
      <c r="A5" s="3" t="s">
        <v>39</v>
      </c>
      <c r="B5" s="3" t="s">
        <v>13</v>
      </c>
      <c r="C5" s="3" t="s">
        <v>14</v>
      </c>
      <c r="D5" s="3">
        <v>170.0</v>
      </c>
      <c r="E5" s="23" t="s">
        <v>75</v>
      </c>
      <c r="F5" s="23">
        <v>0.08</v>
      </c>
      <c r="G5" s="26">
        <v>5.0E7</v>
      </c>
      <c r="H5" s="23" t="s">
        <v>76</v>
      </c>
      <c r="I5" s="26">
        <v>1.5618E9</v>
      </c>
      <c r="J5" s="26"/>
      <c r="K5" s="26"/>
      <c r="L5" s="26"/>
      <c r="M5" s="26"/>
      <c r="N5" s="26"/>
      <c r="O5" s="26"/>
      <c r="P5" s="26"/>
      <c r="Q5" s="26"/>
      <c r="R5" s="26"/>
      <c r="S5" s="26"/>
    </row>
    <row r="6">
      <c r="A6" s="3" t="s">
        <v>39</v>
      </c>
      <c r="B6" s="3" t="s">
        <v>13</v>
      </c>
      <c r="C6" s="3" t="s">
        <v>14</v>
      </c>
      <c r="D6" s="3">
        <v>170.0</v>
      </c>
      <c r="E6" s="23" t="s">
        <v>77</v>
      </c>
      <c r="F6" s="23">
        <v>150000.0</v>
      </c>
      <c r="G6" s="26">
        <v>6000.0</v>
      </c>
      <c r="H6" s="23" t="s">
        <v>78</v>
      </c>
      <c r="I6" s="26">
        <v>1.5618E9</v>
      </c>
      <c r="J6" s="26"/>
      <c r="K6" s="26"/>
      <c r="L6" s="26"/>
      <c r="M6" s="26"/>
      <c r="N6" s="26"/>
      <c r="O6" s="26"/>
      <c r="P6" s="26"/>
      <c r="Q6" s="26"/>
      <c r="R6" s="26"/>
      <c r="S6" s="26"/>
    </row>
    <row r="7">
      <c r="A7" s="3" t="s">
        <v>39</v>
      </c>
      <c r="B7" s="3" t="s">
        <v>13</v>
      </c>
      <c r="C7" s="3" t="s">
        <v>14</v>
      </c>
      <c r="D7" s="3">
        <v>170.0</v>
      </c>
      <c r="E7" s="23" t="s">
        <v>79</v>
      </c>
      <c r="F7" s="23">
        <v>100000.0</v>
      </c>
      <c r="G7" s="26">
        <v>3975.0</v>
      </c>
      <c r="H7" s="23" t="s">
        <v>78</v>
      </c>
      <c r="I7" s="26">
        <v>1.5618E9</v>
      </c>
      <c r="J7" s="26"/>
      <c r="K7" s="26"/>
      <c r="L7" s="26"/>
      <c r="M7" s="26"/>
      <c r="N7" s="26"/>
      <c r="O7" s="26"/>
      <c r="P7" s="26"/>
      <c r="Q7" s="26"/>
      <c r="R7" s="26"/>
      <c r="S7" s="26"/>
    </row>
    <row r="8">
      <c r="A8" s="3" t="s">
        <v>40</v>
      </c>
      <c r="B8" s="3" t="s">
        <v>13</v>
      </c>
      <c r="C8" s="3" t="s">
        <v>14</v>
      </c>
      <c r="D8" s="3">
        <v>110.0</v>
      </c>
      <c r="E8" s="23" t="s">
        <v>75</v>
      </c>
      <c r="F8" s="23">
        <v>0.03</v>
      </c>
      <c r="G8" s="26">
        <v>5.0E7</v>
      </c>
      <c r="H8" s="23" t="s">
        <v>76</v>
      </c>
      <c r="I8" s="26">
        <v>1.2951E9</v>
      </c>
      <c r="J8" s="26"/>
      <c r="K8" s="26"/>
      <c r="L8" s="26"/>
      <c r="M8" s="26"/>
      <c r="N8" s="26"/>
      <c r="O8" s="26"/>
      <c r="P8" s="26"/>
      <c r="Q8" s="26"/>
      <c r="R8" s="26"/>
      <c r="S8" s="26"/>
    </row>
    <row r="9">
      <c r="A9" s="3" t="s">
        <v>40</v>
      </c>
      <c r="B9" s="3" t="s">
        <v>13</v>
      </c>
      <c r="C9" s="3" t="s">
        <v>14</v>
      </c>
      <c r="D9" s="3">
        <v>110.0</v>
      </c>
      <c r="E9" s="23" t="s">
        <v>77</v>
      </c>
      <c r="F9" s="23">
        <v>120000.0</v>
      </c>
      <c r="G9" s="26">
        <v>6000.0</v>
      </c>
      <c r="H9" s="23" t="s">
        <v>78</v>
      </c>
      <c r="I9" s="26">
        <v>1.2951E9</v>
      </c>
      <c r="J9" s="26"/>
      <c r="K9" s="26"/>
      <c r="L9" s="26"/>
      <c r="M9" s="26"/>
      <c r="N9" s="26"/>
      <c r="O9" s="26"/>
      <c r="P9" s="26"/>
      <c r="Q9" s="26"/>
      <c r="R9" s="26"/>
      <c r="S9" s="26"/>
    </row>
    <row r="10">
      <c r="A10" s="3" t="s">
        <v>40</v>
      </c>
      <c r="B10" s="3" t="s">
        <v>13</v>
      </c>
      <c r="C10" s="3" t="s">
        <v>14</v>
      </c>
      <c r="D10" s="3">
        <v>110.0</v>
      </c>
      <c r="E10" s="23" t="s">
        <v>79</v>
      </c>
      <c r="F10" s="23">
        <v>90000.0</v>
      </c>
      <c r="G10" s="26">
        <v>3975.0</v>
      </c>
      <c r="H10" s="23" t="s">
        <v>78</v>
      </c>
      <c r="I10" s="26">
        <v>1.2951E9</v>
      </c>
      <c r="J10" s="26"/>
      <c r="K10" s="26"/>
      <c r="L10" s="26"/>
      <c r="M10" s="26"/>
      <c r="N10" s="26"/>
      <c r="O10" s="26"/>
      <c r="P10" s="26"/>
      <c r="Q10" s="26"/>
      <c r="R10" s="26"/>
      <c r="S10" s="26"/>
    </row>
    <row r="11">
      <c r="A11" s="3" t="s">
        <v>40</v>
      </c>
      <c r="B11" s="3" t="s">
        <v>31</v>
      </c>
      <c r="C11" s="3" t="s">
        <v>14</v>
      </c>
      <c r="D11" s="3">
        <v>180.0</v>
      </c>
      <c r="E11" s="23" t="s">
        <v>75</v>
      </c>
      <c r="F11" s="23">
        <v>0.09</v>
      </c>
      <c r="G11" s="26">
        <v>5.0E7</v>
      </c>
      <c r="H11" s="23" t="s">
        <v>76</v>
      </c>
      <c r="I11" s="26">
        <v>2.1915E9</v>
      </c>
      <c r="J11" s="26"/>
      <c r="K11" s="26"/>
      <c r="L11" s="26"/>
      <c r="M11" s="26"/>
      <c r="N11" s="26"/>
      <c r="O11" s="26"/>
      <c r="P11" s="26"/>
      <c r="Q11" s="26"/>
      <c r="R11" s="26"/>
      <c r="S11" s="26"/>
    </row>
    <row r="12">
      <c r="A12" s="3" t="s">
        <v>40</v>
      </c>
      <c r="B12" s="3" t="s">
        <v>31</v>
      </c>
      <c r="C12" s="3" t="s">
        <v>14</v>
      </c>
      <c r="D12" s="3">
        <v>180.0</v>
      </c>
      <c r="E12" s="23" t="s">
        <v>79</v>
      </c>
      <c r="F12" s="23">
        <v>170000.0</v>
      </c>
      <c r="G12" s="26">
        <v>3975.0</v>
      </c>
      <c r="H12" s="23" t="s">
        <v>78</v>
      </c>
      <c r="I12" s="26">
        <v>2.1915E9</v>
      </c>
      <c r="J12" s="26"/>
      <c r="K12" s="26"/>
      <c r="L12" s="26"/>
      <c r="M12" s="26"/>
      <c r="N12" s="26"/>
      <c r="O12" s="26"/>
      <c r="P12" s="26"/>
      <c r="Q12" s="26"/>
      <c r="R12" s="26"/>
      <c r="S12" s="26"/>
    </row>
    <row r="13">
      <c r="A13" s="3" t="s">
        <v>40</v>
      </c>
      <c r="B13" s="3" t="s">
        <v>31</v>
      </c>
      <c r="C13" s="3" t="s">
        <v>14</v>
      </c>
      <c r="D13" s="3">
        <v>180.0</v>
      </c>
      <c r="E13" s="23" t="s">
        <v>80</v>
      </c>
      <c r="F13" s="23">
        <v>0.1</v>
      </c>
      <c r="G13" s="26">
        <v>6.0E7</v>
      </c>
      <c r="H13" s="23" t="s">
        <v>76</v>
      </c>
      <c r="I13" s="26">
        <v>2.1915E9</v>
      </c>
      <c r="J13" s="26"/>
      <c r="K13" s="26"/>
      <c r="L13" s="26"/>
      <c r="M13" s="26"/>
      <c r="N13" s="26"/>
      <c r="O13" s="26"/>
      <c r="P13" s="26"/>
      <c r="Q13" s="26"/>
      <c r="R13" s="26"/>
      <c r="S13" s="26"/>
    </row>
    <row r="14">
      <c r="A14" s="3" t="s">
        <v>40</v>
      </c>
      <c r="B14" s="3" t="s">
        <v>31</v>
      </c>
      <c r="C14" s="3" t="s">
        <v>14</v>
      </c>
      <c r="D14" s="3">
        <v>180.0</v>
      </c>
      <c r="E14" s="23" t="s">
        <v>77</v>
      </c>
      <c r="F14" s="23">
        <v>190000.0</v>
      </c>
      <c r="G14" s="26">
        <v>6000.0</v>
      </c>
      <c r="H14" s="23" t="s">
        <v>78</v>
      </c>
      <c r="I14" s="26">
        <v>2.1915E9</v>
      </c>
      <c r="J14" s="26"/>
      <c r="K14" s="26"/>
      <c r="L14" s="26"/>
      <c r="M14" s="26"/>
      <c r="N14" s="26"/>
      <c r="O14" s="26"/>
      <c r="P14" s="26"/>
      <c r="Q14" s="26"/>
      <c r="R14" s="26"/>
      <c r="S14" s="26"/>
    </row>
    <row r="15">
      <c r="A15" s="3" t="s">
        <v>40</v>
      </c>
      <c r="B15" s="3" t="s">
        <v>13</v>
      </c>
      <c r="C15" s="3" t="s">
        <v>14</v>
      </c>
      <c r="D15" s="3">
        <v>180.0</v>
      </c>
      <c r="E15" s="23" t="s">
        <v>75</v>
      </c>
      <c r="F15" s="23">
        <v>0.09</v>
      </c>
      <c r="G15" s="26">
        <v>5.0E7</v>
      </c>
      <c r="H15" s="23" t="s">
        <v>76</v>
      </c>
      <c r="I15" s="26">
        <v>1.9692E9</v>
      </c>
      <c r="J15" s="26"/>
      <c r="K15" s="26"/>
      <c r="L15" s="26"/>
      <c r="M15" s="26"/>
      <c r="N15" s="26"/>
      <c r="O15" s="26"/>
      <c r="P15" s="26"/>
      <c r="Q15" s="26"/>
      <c r="R15" s="26"/>
      <c r="S15" s="26"/>
    </row>
    <row r="16">
      <c r="A16" s="3" t="s">
        <v>40</v>
      </c>
      <c r="B16" s="3" t="s">
        <v>13</v>
      </c>
      <c r="C16" s="3" t="s">
        <v>14</v>
      </c>
      <c r="D16" s="3">
        <v>180.0</v>
      </c>
      <c r="E16" s="23" t="s">
        <v>77</v>
      </c>
      <c r="F16" s="23">
        <v>180000.0</v>
      </c>
      <c r="G16" s="26">
        <v>6000.0</v>
      </c>
      <c r="H16" s="23" t="s">
        <v>78</v>
      </c>
      <c r="I16" s="26">
        <v>1.9692E9</v>
      </c>
      <c r="J16" s="26"/>
      <c r="K16" s="26"/>
      <c r="L16" s="26"/>
      <c r="M16" s="26"/>
      <c r="N16" s="26"/>
      <c r="O16" s="26"/>
      <c r="P16" s="26"/>
      <c r="Q16" s="26"/>
      <c r="R16" s="26"/>
      <c r="S16" s="26"/>
    </row>
    <row r="17">
      <c r="A17" s="3" t="s">
        <v>40</v>
      </c>
      <c r="B17" s="3" t="s">
        <v>13</v>
      </c>
      <c r="C17" s="3" t="s">
        <v>14</v>
      </c>
      <c r="D17" s="3">
        <v>180.0</v>
      </c>
      <c r="E17" s="23" t="s">
        <v>79</v>
      </c>
      <c r="F17" s="23">
        <v>140000.0</v>
      </c>
      <c r="G17" s="26">
        <v>3975.0</v>
      </c>
      <c r="H17" s="23" t="s">
        <v>78</v>
      </c>
      <c r="I17" s="26">
        <v>1.9692E9</v>
      </c>
      <c r="J17" s="26"/>
      <c r="K17" s="26"/>
      <c r="L17" s="26"/>
      <c r="M17" s="26"/>
      <c r="N17" s="26"/>
      <c r="O17" s="26"/>
      <c r="P17" s="26"/>
      <c r="Q17" s="26"/>
      <c r="R17" s="26"/>
      <c r="S17" s="26"/>
    </row>
    <row r="18">
      <c r="A18" s="3" t="s">
        <v>40</v>
      </c>
      <c r="B18" s="3" t="s">
        <v>13</v>
      </c>
      <c r="C18" s="3" t="s">
        <v>29</v>
      </c>
      <c r="D18" s="3">
        <v>220.0</v>
      </c>
      <c r="E18" s="23" t="s">
        <v>75</v>
      </c>
      <c r="F18" s="23">
        <v>0.13</v>
      </c>
      <c r="G18" s="26">
        <v>5.0E7</v>
      </c>
      <c r="H18" s="23" t="s">
        <v>76</v>
      </c>
      <c r="I18" s="26">
        <v>2.5584E9</v>
      </c>
      <c r="J18" s="26"/>
      <c r="K18" s="26"/>
      <c r="L18" s="26"/>
      <c r="M18" s="26"/>
      <c r="N18" s="26"/>
      <c r="O18" s="26"/>
      <c r="P18" s="26"/>
      <c r="Q18" s="26"/>
      <c r="R18" s="26"/>
      <c r="S18" s="26"/>
    </row>
    <row r="19">
      <c r="A19" s="3" t="s">
        <v>40</v>
      </c>
      <c r="B19" s="3" t="s">
        <v>13</v>
      </c>
      <c r="C19" s="3" t="s">
        <v>29</v>
      </c>
      <c r="D19" s="3">
        <v>220.0</v>
      </c>
      <c r="E19" s="23" t="s">
        <v>77</v>
      </c>
      <c r="F19" s="23">
        <v>235000.0</v>
      </c>
      <c r="G19" s="26">
        <v>6000.0</v>
      </c>
      <c r="H19" s="23" t="s">
        <v>78</v>
      </c>
      <c r="I19" s="26">
        <v>2.5584E9</v>
      </c>
      <c r="J19" s="26"/>
      <c r="K19" s="26"/>
      <c r="L19" s="26"/>
      <c r="M19" s="26"/>
      <c r="N19" s="26"/>
      <c r="O19" s="26"/>
      <c r="P19" s="26"/>
      <c r="Q19" s="26"/>
      <c r="R19" s="26"/>
      <c r="S19" s="26"/>
    </row>
    <row r="20">
      <c r="A20" s="3" t="s">
        <v>40</v>
      </c>
      <c r="B20" s="3" t="s">
        <v>13</v>
      </c>
      <c r="C20" s="3" t="s">
        <v>29</v>
      </c>
      <c r="D20" s="3">
        <v>220.0</v>
      </c>
      <c r="E20" s="23" t="s">
        <v>79</v>
      </c>
      <c r="F20" s="23">
        <v>180000.0</v>
      </c>
      <c r="G20" s="26">
        <v>3975.0</v>
      </c>
      <c r="H20" s="23" t="s">
        <v>78</v>
      </c>
      <c r="I20" s="26">
        <v>2.5584E9</v>
      </c>
      <c r="J20" s="26"/>
      <c r="K20" s="26"/>
      <c r="L20" s="26"/>
      <c r="M20" s="26"/>
      <c r="N20" s="26"/>
      <c r="O20" s="26"/>
      <c r="P20" s="26"/>
      <c r="Q20" s="26"/>
      <c r="R20" s="26"/>
      <c r="S20" s="26"/>
    </row>
    <row r="21">
      <c r="A21" s="3"/>
      <c r="B21" s="3"/>
      <c r="C21" s="3"/>
      <c r="D21" s="3"/>
      <c r="E21" s="23"/>
      <c r="F21" s="23"/>
      <c r="G21" s="26"/>
      <c r="H21" s="23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</row>
    <row r="22">
      <c r="A22" s="3"/>
      <c r="B22" s="3"/>
      <c r="C22" s="3"/>
      <c r="D22" s="3"/>
      <c r="E22" s="23"/>
      <c r="F22" s="23"/>
      <c r="G22" s="26"/>
      <c r="H22" s="23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</row>
    <row r="23">
      <c r="A23" s="3"/>
      <c r="B23" s="3"/>
      <c r="C23" s="3"/>
      <c r="D23" s="3"/>
      <c r="E23" s="23"/>
      <c r="F23" s="23"/>
      <c r="G23" s="26"/>
      <c r="H23" s="23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</row>
    <row r="24">
      <c r="A24" s="27" t="s">
        <v>2</v>
      </c>
      <c r="B24" s="27" t="s">
        <v>3</v>
      </c>
      <c r="C24" s="27" t="s">
        <v>4</v>
      </c>
      <c r="D24" s="27" t="s">
        <v>5</v>
      </c>
      <c r="E24" s="28" t="s">
        <v>70</v>
      </c>
      <c r="F24" s="28" t="s">
        <v>71</v>
      </c>
      <c r="G24" s="29" t="s">
        <v>72</v>
      </c>
      <c r="H24" s="28" t="s">
        <v>81</v>
      </c>
      <c r="I24" s="30" t="s">
        <v>74</v>
      </c>
      <c r="J24" s="29"/>
      <c r="K24" s="29"/>
      <c r="L24" s="29"/>
      <c r="M24" s="29"/>
      <c r="N24" s="29"/>
      <c r="O24" s="29"/>
      <c r="P24" s="29"/>
      <c r="Q24" s="29"/>
      <c r="R24" s="29"/>
      <c r="S24" s="29"/>
    </row>
    <row r="25">
      <c r="A25" s="27" t="s">
        <v>39</v>
      </c>
      <c r="B25" s="27" t="s">
        <v>13</v>
      </c>
      <c r="C25" s="27" t="s">
        <v>14</v>
      </c>
      <c r="D25" s="31">
        <v>110.0</v>
      </c>
      <c r="E25" s="28" t="s">
        <v>75</v>
      </c>
      <c r="F25" s="32">
        <v>0.05</v>
      </c>
      <c r="G25" s="33">
        <v>5.0E7</v>
      </c>
      <c r="H25" s="33">
        <f t="shared" ref="H25:H43" si="1">G25*F25</f>
        <v>2500000</v>
      </c>
      <c r="I25" s="33">
        <v>1.2E9</v>
      </c>
      <c r="J25" s="29"/>
      <c r="K25" s="29"/>
      <c r="L25" s="29"/>
      <c r="M25" s="29"/>
      <c r="N25" s="29"/>
      <c r="O25" s="29"/>
      <c r="P25" s="29"/>
      <c r="Q25" s="29"/>
      <c r="R25" s="29"/>
      <c r="S25" s="29"/>
    </row>
    <row r="26">
      <c r="A26" s="27"/>
      <c r="B26" s="27"/>
      <c r="C26" s="27"/>
      <c r="D26" s="27"/>
      <c r="E26" s="28" t="s">
        <v>77</v>
      </c>
      <c r="F26" s="32">
        <v>100000.0</v>
      </c>
      <c r="G26" s="33">
        <v>6000.0</v>
      </c>
      <c r="H26" s="33">
        <f t="shared" si="1"/>
        <v>600000000</v>
      </c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</row>
    <row r="27">
      <c r="A27" s="27"/>
      <c r="B27" s="27"/>
      <c r="C27" s="27"/>
      <c r="D27" s="27"/>
      <c r="E27" s="28" t="s">
        <v>79</v>
      </c>
      <c r="F27" s="32">
        <v>100000.0</v>
      </c>
      <c r="G27" s="33">
        <v>3975.0</v>
      </c>
      <c r="H27" s="33">
        <f t="shared" si="1"/>
        <v>397500000</v>
      </c>
      <c r="I27" s="29"/>
      <c r="J27" s="29"/>
      <c r="K27" s="29"/>
      <c r="L27" s="29"/>
      <c r="M27" s="29"/>
      <c r="N27" s="29"/>
      <c r="O27" s="29" t="s">
        <v>82</v>
      </c>
      <c r="P27" s="29" t="s">
        <v>83</v>
      </c>
      <c r="Q27" s="29" t="s">
        <v>84</v>
      </c>
      <c r="R27" s="29"/>
      <c r="S27" s="29"/>
    </row>
    <row r="28">
      <c r="A28" s="27" t="s">
        <v>39</v>
      </c>
      <c r="B28" s="27" t="s">
        <v>13</v>
      </c>
      <c r="C28" s="27" t="s">
        <v>14</v>
      </c>
      <c r="D28" s="31">
        <v>170.0</v>
      </c>
      <c r="E28" s="28" t="s">
        <v>75</v>
      </c>
      <c r="F28" s="32">
        <v>0.08</v>
      </c>
      <c r="G28" s="33">
        <v>5.0E7</v>
      </c>
      <c r="H28" s="33">
        <f t="shared" si="1"/>
        <v>4000000</v>
      </c>
      <c r="I28" s="33">
        <v>1.5618E9</v>
      </c>
      <c r="J28" s="29"/>
      <c r="K28" s="29"/>
      <c r="L28" s="29"/>
      <c r="M28" s="29"/>
      <c r="N28" s="29"/>
      <c r="O28" s="29" t="s">
        <v>75</v>
      </c>
      <c r="P28" s="33">
        <v>5.0E7</v>
      </c>
      <c r="Q28" s="29"/>
      <c r="R28" s="29"/>
      <c r="S28" s="29"/>
    </row>
    <row r="29">
      <c r="A29" s="27"/>
      <c r="B29" s="27"/>
      <c r="C29" s="27"/>
      <c r="D29" s="27"/>
      <c r="E29" s="28" t="s">
        <v>77</v>
      </c>
      <c r="F29" s="32">
        <v>150000.0</v>
      </c>
      <c r="G29" s="33">
        <v>6000.0</v>
      </c>
      <c r="H29" s="33">
        <f t="shared" si="1"/>
        <v>900000000</v>
      </c>
      <c r="I29" s="29"/>
      <c r="J29" s="29"/>
      <c r="K29" s="29"/>
      <c r="L29" s="29"/>
      <c r="M29" s="29"/>
      <c r="N29" s="29"/>
      <c r="O29" s="29" t="s">
        <v>77</v>
      </c>
      <c r="P29" s="33">
        <v>6000.0</v>
      </c>
      <c r="Q29" s="29"/>
      <c r="R29" s="29"/>
      <c r="S29" s="29"/>
    </row>
    <row r="30">
      <c r="A30" s="27"/>
      <c r="B30" s="27"/>
      <c r="C30" s="27"/>
      <c r="D30" s="27"/>
      <c r="E30" s="28" t="s">
        <v>79</v>
      </c>
      <c r="F30" s="32">
        <v>100000.0</v>
      </c>
      <c r="G30" s="33">
        <v>3975.0</v>
      </c>
      <c r="H30" s="33">
        <f t="shared" si="1"/>
        <v>397500000</v>
      </c>
      <c r="I30" s="29"/>
      <c r="J30" s="29"/>
      <c r="K30" s="29"/>
      <c r="L30" s="29"/>
      <c r="M30" s="29"/>
      <c r="N30" s="29"/>
      <c r="O30" s="29" t="s">
        <v>79</v>
      </c>
      <c r="P30" s="33">
        <v>3975.0</v>
      </c>
      <c r="Q30" s="29"/>
      <c r="R30" s="29"/>
      <c r="S30" s="29"/>
    </row>
    <row r="31">
      <c r="A31" s="27" t="s">
        <v>40</v>
      </c>
      <c r="B31" s="27" t="s">
        <v>13</v>
      </c>
      <c r="C31" s="27" t="s">
        <v>14</v>
      </c>
      <c r="D31" s="31">
        <v>110.0</v>
      </c>
      <c r="E31" s="28" t="s">
        <v>75</v>
      </c>
      <c r="F31" s="32">
        <v>0.03</v>
      </c>
      <c r="G31" s="33">
        <v>5.0E7</v>
      </c>
      <c r="H31" s="33">
        <f t="shared" si="1"/>
        <v>1500000</v>
      </c>
      <c r="I31" s="33">
        <v>1.2951E9</v>
      </c>
      <c r="J31" s="29"/>
      <c r="K31" s="29"/>
      <c r="L31" s="29"/>
      <c r="M31" s="29"/>
      <c r="N31" s="29"/>
      <c r="O31" s="29" t="s">
        <v>80</v>
      </c>
      <c r="P31" s="33">
        <v>6.0E7</v>
      </c>
      <c r="Q31" s="29"/>
      <c r="R31" s="29"/>
      <c r="S31" s="29"/>
    </row>
    <row r="32">
      <c r="A32" s="27"/>
      <c r="B32" s="27"/>
      <c r="C32" s="27"/>
      <c r="D32" s="27"/>
      <c r="E32" s="28" t="s">
        <v>77</v>
      </c>
      <c r="F32" s="32">
        <v>120000.0</v>
      </c>
      <c r="G32" s="33">
        <v>6000.0</v>
      </c>
      <c r="H32" s="33">
        <f t="shared" si="1"/>
        <v>720000000</v>
      </c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</row>
    <row r="33">
      <c r="A33" s="27"/>
      <c r="B33" s="27"/>
      <c r="C33" s="27"/>
      <c r="D33" s="27"/>
      <c r="E33" s="28" t="s">
        <v>79</v>
      </c>
      <c r="F33" s="32">
        <v>90000.0</v>
      </c>
      <c r="G33" s="33">
        <v>3975.0</v>
      </c>
      <c r="H33" s="33">
        <f t="shared" si="1"/>
        <v>357750000</v>
      </c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</row>
    <row r="34">
      <c r="A34" s="27" t="s">
        <v>40</v>
      </c>
      <c r="B34" s="27" t="s">
        <v>31</v>
      </c>
      <c r="C34" s="27" t="s">
        <v>14</v>
      </c>
      <c r="D34" s="31">
        <v>180.0</v>
      </c>
      <c r="E34" s="28" t="s">
        <v>75</v>
      </c>
      <c r="F34" s="32">
        <v>0.09</v>
      </c>
      <c r="G34" s="33">
        <v>5.0E7</v>
      </c>
      <c r="H34" s="33">
        <f t="shared" si="1"/>
        <v>4500000</v>
      </c>
      <c r="I34" s="33">
        <v>2.1915E9</v>
      </c>
      <c r="J34" s="29"/>
      <c r="K34" s="29"/>
      <c r="L34" s="29"/>
      <c r="M34" s="29"/>
      <c r="N34" s="29"/>
      <c r="O34" s="29"/>
      <c r="P34" s="29"/>
      <c r="Q34" s="29"/>
      <c r="R34" s="29"/>
      <c r="S34" s="29"/>
    </row>
    <row r="35">
      <c r="A35" s="27"/>
      <c r="B35" s="27"/>
      <c r="C35" s="27"/>
      <c r="D35" s="27"/>
      <c r="E35" s="28" t="s">
        <v>79</v>
      </c>
      <c r="F35" s="32">
        <v>170000.0</v>
      </c>
      <c r="G35" s="33">
        <v>3975.0</v>
      </c>
      <c r="H35" s="33">
        <f t="shared" si="1"/>
        <v>675750000</v>
      </c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</row>
    <row r="36">
      <c r="A36" s="27"/>
      <c r="B36" s="27"/>
      <c r="C36" s="27"/>
      <c r="D36" s="27"/>
      <c r="E36" s="28" t="s">
        <v>80</v>
      </c>
      <c r="F36" s="32">
        <v>0.1</v>
      </c>
      <c r="G36" s="33">
        <v>6.0E7</v>
      </c>
      <c r="H36" s="33">
        <f t="shared" si="1"/>
        <v>6000000</v>
      </c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</row>
    <row r="37">
      <c r="A37" s="27"/>
      <c r="B37" s="27"/>
      <c r="C37" s="27"/>
      <c r="D37" s="27"/>
      <c r="E37" s="28" t="s">
        <v>77</v>
      </c>
      <c r="F37" s="32">
        <v>190000.0</v>
      </c>
      <c r="G37" s="33">
        <v>6000.0</v>
      </c>
      <c r="H37" s="33">
        <f t="shared" si="1"/>
        <v>1140000000</v>
      </c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</row>
    <row r="38">
      <c r="A38" s="27" t="s">
        <v>40</v>
      </c>
      <c r="B38" s="27" t="s">
        <v>13</v>
      </c>
      <c r="C38" s="27" t="s">
        <v>14</v>
      </c>
      <c r="D38" s="31">
        <v>180.0</v>
      </c>
      <c r="E38" s="28" t="s">
        <v>75</v>
      </c>
      <c r="F38" s="32">
        <v>0.09</v>
      </c>
      <c r="G38" s="33">
        <v>5.0E7</v>
      </c>
      <c r="H38" s="33">
        <f t="shared" si="1"/>
        <v>4500000</v>
      </c>
      <c r="I38" s="33">
        <v>1.9692E9</v>
      </c>
      <c r="J38" s="29"/>
      <c r="K38" s="29"/>
      <c r="L38" s="29"/>
      <c r="M38" s="29"/>
      <c r="N38" s="29"/>
      <c r="O38" s="29"/>
      <c r="P38" s="29"/>
      <c r="Q38" s="29"/>
      <c r="R38" s="29"/>
      <c r="S38" s="29"/>
    </row>
    <row r="39">
      <c r="A39" s="27"/>
      <c r="B39" s="27"/>
      <c r="C39" s="27"/>
      <c r="D39" s="27"/>
      <c r="E39" s="28" t="s">
        <v>77</v>
      </c>
      <c r="F39" s="32">
        <v>180000.0</v>
      </c>
      <c r="G39" s="33">
        <v>6000.0</v>
      </c>
      <c r="H39" s="33">
        <f t="shared" si="1"/>
        <v>1080000000</v>
      </c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</row>
    <row r="40">
      <c r="A40" s="27"/>
      <c r="B40" s="27"/>
      <c r="C40" s="27"/>
      <c r="D40" s="27"/>
      <c r="E40" s="28" t="s">
        <v>79</v>
      </c>
      <c r="F40" s="32">
        <v>140000.0</v>
      </c>
      <c r="G40" s="33">
        <v>3975.0</v>
      </c>
      <c r="H40" s="33">
        <f t="shared" si="1"/>
        <v>556500000</v>
      </c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</row>
    <row r="41">
      <c r="A41" s="27" t="s">
        <v>40</v>
      </c>
      <c r="B41" s="27" t="s">
        <v>13</v>
      </c>
      <c r="C41" s="27" t="s">
        <v>29</v>
      </c>
      <c r="D41" s="31">
        <v>220.0</v>
      </c>
      <c r="E41" s="28" t="s">
        <v>75</v>
      </c>
      <c r="F41" s="32">
        <v>0.13</v>
      </c>
      <c r="G41" s="33">
        <v>5.0E7</v>
      </c>
      <c r="H41" s="33">
        <f t="shared" si="1"/>
        <v>6500000</v>
      </c>
      <c r="I41" s="33">
        <v>2.5584E9</v>
      </c>
      <c r="J41" s="29"/>
      <c r="K41" s="29"/>
      <c r="L41" s="29"/>
      <c r="M41" s="29"/>
      <c r="N41" s="29"/>
      <c r="O41" s="29"/>
      <c r="P41" s="29"/>
      <c r="Q41" s="29"/>
      <c r="R41" s="29"/>
      <c r="S41" s="29"/>
    </row>
    <row r="42">
      <c r="A42" s="27"/>
      <c r="B42" s="27"/>
      <c r="C42" s="27"/>
      <c r="D42" s="27"/>
      <c r="E42" s="28" t="s">
        <v>77</v>
      </c>
      <c r="F42" s="32">
        <v>235000.0</v>
      </c>
      <c r="G42" s="33">
        <v>6000.0</v>
      </c>
      <c r="H42" s="33">
        <f t="shared" si="1"/>
        <v>1410000000</v>
      </c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</row>
    <row r="43">
      <c r="A43" s="27"/>
      <c r="B43" s="27"/>
      <c r="C43" s="27"/>
      <c r="D43" s="27"/>
      <c r="E43" s="28" t="s">
        <v>79</v>
      </c>
      <c r="F43" s="32">
        <v>180000.0</v>
      </c>
      <c r="G43" s="33">
        <v>3975.0</v>
      </c>
      <c r="H43" s="33">
        <f t="shared" si="1"/>
        <v>715500000</v>
      </c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</row>
    <row r="44">
      <c r="A44" s="27"/>
      <c r="B44" s="27"/>
      <c r="C44" s="27"/>
      <c r="D44" s="27"/>
      <c r="E44" s="28"/>
      <c r="F44" s="28"/>
      <c r="G44" s="29"/>
      <c r="H44" s="28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</row>
    <row r="45">
      <c r="A45" s="27"/>
      <c r="B45" s="27"/>
      <c r="C45" s="27"/>
      <c r="D45" s="27"/>
      <c r="E45" s="28"/>
      <c r="F45" s="28"/>
      <c r="G45" s="29"/>
      <c r="H45" s="28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</row>
    <row r="46">
      <c r="A46" s="27"/>
      <c r="B46" s="27"/>
      <c r="C46" s="27"/>
      <c r="D46" s="27"/>
      <c r="E46" s="28"/>
      <c r="F46" s="28" t="s">
        <v>85</v>
      </c>
      <c r="G46" s="29"/>
      <c r="H46" s="28"/>
      <c r="I46" s="29"/>
      <c r="J46" s="29" t="s">
        <v>86</v>
      </c>
      <c r="K46" s="29"/>
      <c r="L46" s="29"/>
      <c r="M46" s="29"/>
      <c r="N46" s="29" t="s">
        <v>85</v>
      </c>
      <c r="O46" s="29" t="s">
        <v>87</v>
      </c>
      <c r="P46" s="29" t="s">
        <v>88</v>
      </c>
      <c r="Q46" s="29"/>
      <c r="R46" s="29"/>
      <c r="S46" s="29"/>
    </row>
    <row r="47">
      <c r="A47" s="27"/>
      <c r="B47" s="27"/>
      <c r="C47" s="27"/>
      <c r="D47" s="27"/>
      <c r="E47" s="28"/>
      <c r="F47" s="28" t="s">
        <v>75</v>
      </c>
      <c r="G47" s="29" t="s">
        <v>77</v>
      </c>
      <c r="H47" s="28" t="s">
        <v>79</v>
      </c>
      <c r="I47" s="29" t="s">
        <v>80</v>
      </c>
      <c r="J47" s="29" t="s">
        <v>75</v>
      </c>
      <c r="K47" s="29" t="s">
        <v>77</v>
      </c>
      <c r="L47" s="29" t="s">
        <v>79</v>
      </c>
      <c r="M47" s="29" t="s">
        <v>80</v>
      </c>
      <c r="N47" s="29"/>
      <c r="O47" s="29"/>
      <c r="P47" s="29"/>
      <c r="Q47" s="29"/>
      <c r="R47" s="29"/>
      <c r="S47" s="29"/>
    </row>
    <row r="48">
      <c r="A48" s="27"/>
      <c r="B48" s="27" t="s">
        <v>31</v>
      </c>
      <c r="C48" s="27" t="s">
        <v>40</v>
      </c>
      <c r="D48" s="27" t="s">
        <v>14</v>
      </c>
      <c r="E48" s="32">
        <v>180.0</v>
      </c>
      <c r="F48" s="34">
        <v>0.09</v>
      </c>
      <c r="G48" s="35">
        <v>190000.0</v>
      </c>
      <c r="H48" s="35">
        <v>170000.0</v>
      </c>
      <c r="I48" s="34">
        <v>0.1</v>
      </c>
      <c r="J48" s="35">
        <f t="shared" ref="J48:M48" si="2">F48*VLOOKUP(J$47,$O$28:$Q$31,2,FALSE)</f>
        <v>4500000</v>
      </c>
      <c r="K48" s="35">
        <f t="shared" si="2"/>
        <v>1140000000</v>
      </c>
      <c r="L48" s="35">
        <f t="shared" si="2"/>
        <v>675750000</v>
      </c>
      <c r="M48" s="35">
        <f t="shared" si="2"/>
        <v>6000000</v>
      </c>
      <c r="N48" s="35">
        <f t="shared" ref="N48:N53" si="4">SUM(J48:M48)</f>
        <v>1826250000</v>
      </c>
      <c r="O48" s="35">
        <v>3.6525E8</v>
      </c>
      <c r="P48" s="35">
        <v>2.1915E9</v>
      </c>
      <c r="Q48" s="29"/>
      <c r="R48" s="29"/>
      <c r="S48" s="29"/>
    </row>
    <row r="49">
      <c r="A49" s="27"/>
      <c r="B49" s="27" t="s">
        <v>13</v>
      </c>
      <c r="C49" s="27" t="s">
        <v>39</v>
      </c>
      <c r="D49" s="27" t="s">
        <v>14</v>
      </c>
      <c r="E49" s="32">
        <v>110.0</v>
      </c>
      <c r="F49" s="34">
        <v>0.05</v>
      </c>
      <c r="G49" s="35">
        <v>100000.0</v>
      </c>
      <c r="H49" s="35">
        <v>100000.0</v>
      </c>
      <c r="I49" s="36"/>
      <c r="J49" s="35">
        <f t="shared" ref="J49:M49" si="3">F49*VLOOKUP(J$47,$O$28:$Q$31,2,FALSE)</f>
        <v>2500000</v>
      </c>
      <c r="K49" s="35">
        <f t="shared" si="3"/>
        <v>600000000</v>
      </c>
      <c r="L49" s="35">
        <f t="shared" si="3"/>
        <v>397500000</v>
      </c>
      <c r="M49" s="35">
        <f t="shared" si="3"/>
        <v>0</v>
      </c>
      <c r="N49" s="35">
        <f t="shared" si="4"/>
        <v>1000000000</v>
      </c>
      <c r="O49" s="35">
        <v>2.0E8</v>
      </c>
      <c r="P49" s="35">
        <v>1.2E9</v>
      </c>
      <c r="Q49" s="29"/>
      <c r="R49" s="29"/>
      <c r="S49" s="29"/>
    </row>
    <row r="50">
      <c r="A50" s="27"/>
      <c r="B50" s="27" t="s">
        <v>13</v>
      </c>
      <c r="C50" s="27" t="s">
        <v>39</v>
      </c>
      <c r="D50" s="27" t="s">
        <v>14</v>
      </c>
      <c r="E50" s="32">
        <v>170.0</v>
      </c>
      <c r="F50" s="34">
        <v>0.08</v>
      </c>
      <c r="G50" s="35">
        <v>150000.0</v>
      </c>
      <c r="H50" s="35">
        <v>100000.0</v>
      </c>
      <c r="I50" s="36"/>
      <c r="J50" s="35">
        <f t="shared" ref="J50:M50" si="5">F50*VLOOKUP(J$47,$O$28:$Q$31,2,FALSE)</f>
        <v>4000000</v>
      </c>
      <c r="K50" s="35">
        <f t="shared" si="5"/>
        <v>900000000</v>
      </c>
      <c r="L50" s="35">
        <f t="shared" si="5"/>
        <v>397500000</v>
      </c>
      <c r="M50" s="35">
        <f t="shared" si="5"/>
        <v>0</v>
      </c>
      <c r="N50" s="35">
        <f t="shared" si="4"/>
        <v>1301500000</v>
      </c>
      <c r="O50" s="35">
        <v>2.603E8</v>
      </c>
      <c r="P50" s="35">
        <v>1.5618E9</v>
      </c>
      <c r="Q50" s="29"/>
      <c r="R50" s="29"/>
      <c r="S50" s="29"/>
    </row>
    <row r="51">
      <c r="A51" s="27"/>
      <c r="B51" s="27" t="s">
        <v>13</v>
      </c>
      <c r="C51" s="27" t="s">
        <v>40</v>
      </c>
      <c r="D51" s="27" t="s">
        <v>14</v>
      </c>
      <c r="E51" s="32">
        <v>110.0</v>
      </c>
      <c r="F51" s="34">
        <v>0.03</v>
      </c>
      <c r="G51" s="35">
        <v>120000.0</v>
      </c>
      <c r="H51" s="35">
        <v>90000.0</v>
      </c>
      <c r="I51" s="36"/>
      <c r="J51" s="35">
        <f t="shared" ref="J51:M51" si="6">F51*VLOOKUP(J$47,$O$28:$Q$31,2,FALSE)</f>
        <v>1500000</v>
      </c>
      <c r="K51" s="35">
        <f t="shared" si="6"/>
        <v>720000000</v>
      </c>
      <c r="L51" s="35">
        <f t="shared" si="6"/>
        <v>357750000</v>
      </c>
      <c r="M51" s="35">
        <f t="shared" si="6"/>
        <v>0</v>
      </c>
      <c r="N51" s="35">
        <f t="shared" si="4"/>
        <v>1079250000</v>
      </c>
      <c r="O51" s="35">
        <v>2.1585E8</v>
      </c>
      <c r="P51" s="35">
        <v>1.2951E9</v>
      </c>
      <c r="Q51" s="29"/>
      <c r="R51" s="29"/>
      <c r="S51" s="29"/>
    </row>
    <row r="52">
      <c r="A52" s="27"/>
      <c r="B52" s="27" t="s">
        <v>13</v>
      </c>
      <c r="C52" s="27" t="s">
        <v>40</v>
      </c>
      <c r="D52" s="27" t="s">
        <v>14</v>
      </c>
      <c r="E52" s="32">
        <v>180.0</v>
      </c>
      <c r="F52" s="34">
        <v>0.09</v>
      </c>
      <c r="G52" s="35">
        <v>180000.0</v>
      </c>
      <c r="H52" s="35">
        <v>140000.0</v>
      </c>
      <c r="I52" s="36"/>
      <c r="J52" s="35">
        <f t="shared" ref="J52:M52" si="7">F52*VLOOKUP(J$47,$O$28:$Q$31,2,FALSE)</f>
        <v>4500000</v>
      </c>
      <c r="K52" s="35">
        <f t="shared" si="7"/>
        <v>1080000000</v>
      </c>
      <c r="L52" s="35">
        <f t="shared" si="7"/>
        <v>556500000</v>
      </c>
      <c r="M52" s="35">
        <f t="shared" si="7"/>
        <v>0</v>
      </c>
      <c r="N52" s="35">
        <f t="shared" si="4"/>
        <v>1641000000</v>
      </c>
      <c r="O52" s="35">
        <v>3.282E8</v>
      </c>
      <c r="P52" s="35">
        <v>1.9692E9</v>
      </c>
      <c r="Q52" s="29"/>
      <c r="R52" s="29"/>
      <c r="S52" s="29"/>
    </row>
    <row r="53">
      <c r="A53" s="27"/>
      <c r="B53" s="27" t="s">
        <v>13</v>
      </c>
      <c r="C53" s="27" t="s">
        <v>40</v>
      </c>
      <c r="D53" s="27" t="s">
        <v>29</v>
      </c>
      <c r="E53" s="32">
        <v>220.0</v>
      </c>
      <c r="F53" s="34">
        <v>0.13</v>
      </c>
      <c r="G53" s="35">
        <v>235000.0</v>
      </c>
      <c r="H53" s="35">
        <v>180000.0</v>
      </c>
      <c r="I53" s="36"/>
      <c r="J53" s="35">
        <f t="shared" ref="J53:M53" si="8">F53*VLOOKUP(J$47,$O$28:$Q$31,2,FALSE)</f>
        <v>6500000</v>
      </c>
      <c r="K53" s="35">
        <f t="shared" si="8"/>
        <v>1410000000</v>
      </c>
      <c r="L53" s="35">
        <f t="shared" si="8"/>
        <v>715500000</v>
      </c>
      <c r="M53" s="35">
        <f t="shared" si="8"/>
        <v>0</v>
      </c>
      <c r="N53" s="35">
        <f t="shared" si="4"/>
        <v>2132000000</v>
      </c>
      <c r="O53" s="35">
        <v>4.264E8</v>
      </c>
      <c r="P53" s="35">
        <v>2.5584E9</v>
      </c>
      <c r="Q53" s="29"/>
      <c r="R53" s="29"/>
      <c r="S53" s="29"/>
    </row>
    <row r="54">
      <c r="A54" s="27"/>
      <c r="B54" s="27"/>
      <c r="C54" s="27"/>
      <c r="D54" s="27"/>
      <c r="E54" s="28"/>
      <c r="F54" s="37"/>
      <c r="G54" s="38"/>
      <c r="H54" s="37"/>
      <c r="I54" s="38"/>
      <c r="J54" s="38"/>
      <c r="K54" s="38"/>
      <c r="L54" s="38"/>
      <c r="M54" s="38"/>
      <c r="N54" s="29"/>
      <c r="O54" s="29"/>
      <c r="P54" s="29"/>
      <c r="Q54" s="29"/>
      <c r="R54" s="29"/>
      <c r="S54" s="29"/>
    </row>
    <row r="55">
      <c r="A55" s="27"/>
      <c r="B55" s="39" t="s">
        <v>89</v>
      </c>
      <c r="C55" s="27"/>
      <c r="D55" s="27"/>
      <c r="E55" s="40"/>
      <c r="F55" s="41" t="s">
        <v>90</v>
      </c>
      <c r="G55" s="42" t="s">
        <v>90</v>
      </c>
      <c r="H55" s="41" t="s">
        <v>90</v>
      </c>
      <c r="I55" s="43" t="s">
        <v>90</v>
      </c>
      <c r="J55" s="42" t="s">
        <v>91</v>
      </c>
      <c r="K55" s="42" t="s">
        <v>91</v>
      </c>
      <c r="L55" s="42" t="s">
        <v>91</v>
      </c>
      <c r="M55" s="43" t="s">
        <v>91</v>
      </c>
      <c r="N55" s="29"/>
      <c r="O55" s="29"/>
      <c r="P55" s="29"/>
      <c r="Q55" s="29"/>
      <c r="R55" s="29"/>
      <c r="S55" s="29"/>
    </row>
    <row r="56">
      <c r="A56" s="27"/>
      <c r="B56" s="44"/>
      <c r="C56" s="44"/>
      <c r="D56" s="44"/>
      <c r="E56" s="45"/>
      <c r="F56" s="37" t="s">
        <v>51</v>
      </c>
      <c r="G56" s="38" t="s">
        <v>52</v>
      </c>
      <c r="H56" s="37" t="s">
        <v>53</v>
      </c>
      <c r="I56" s="43" t="s">
        <v>54</v>
      </c>
      <c r="J56" s="38" t="s">
        <v>51</v>
      </c>
      <c r="K56" s="38" t="s">
        <v>52</v>
      </c>
      <c r="L56" s="38" t="s">
        <v>53</v>
      </c>
      <c r="M56" s="43" t="s">
        <v>54</v>
      </c>
      <c r="N56" s="29"/>
      <c r="O56" s="29"/>
      <c r="P56" s="29"/>
      <c r="Q56" s="29"/>
      <c r="R56" s="29"/>
      <c r="S56" s="29"/>
    </row>
    <row r="57">
      <c r="A57" s="46"/>
      <c r="B57" s="47" t="s">
        <v>31</v>
      </c>
      <c r="C57" s="47" t="s">
        <v>40</v>
      </c>
      <c r="D57" s="47" t="s">
        <v>14</v>
      </c>
      <c r="E57" s="48">
        <v>180.0</v>
      </c>
      <c r="F57" s="49">
        <v>29.469612682192704</v>
      </c>
      <c r="G57" s="50">
        <v>30.882042697826492</v>
      </c>
      <c r="H57" s="49">
        <v>29.71046180914925</v>
      </c>
      <c r="I57" s="51">
        <v>28.07320307655527</v>
      </c>
      <c r="J57" s="50">
        <v>26.587380634121445</v>
      </c>
      <c r="K57" s="50">
        <v>21.692628040204205</v>
      </c>
      <c r="L57" s="50">
        <v>22.92735317585681</v>
      </c>
      <c r="M57" s="51">
        <v>21.14660251862975</v>
      </c>
      <c r="N57" s="29"/>
      <c r="O57" s="29"/>
      <c r="P57" s="29"/>
      <c r="Q57" s="29"/>
      <c r="R57" s="29"/>
      <c r="S57" s="29"/>
    </row>
    <row r="58">
      <c r="A58" s="46"/>
      <c r="B58" s="52" t="s">
        <v>13</v>
      </c>
      <c r="C58" s="52" t="s">
        <v>39</v>
      </c>
      <c r="D58" s="52" t="s">
        <v>14</v>
      </c>
      <c r="E58" s="53">
        <v>110.0</v>
      </c>
      <c r="F58" s="32">
        <v>37.43079448412051</v>
      </c>
      <c r="G58" s="33">
        <v>32.85655619427415</v>
      </c>
      <c r="H58" s="32">
        <v>39.00978316067266</v>
      </c>
      <c r="I58" s="54">
        <v>41.208801835707256</v>
      </c>
      <c r="J58" s="33">
        <v>43.13155630997734</v>
      </c>
      <c r="K58" s="33">
        <v>42.16067322331702</v>
      </c>
      <c r="L58" s="33">
        <v>45.93386981423777</v>
      </c>
      <c r="M58" s="54">
        <v>44.123032539764395</v>
      </c>
      <c r="N58" s="29"/>
      <c r="O58" s="29"/>
      <c r="P58" s="29"/>
      <c r="Q58" s="29"/>
      <c r="R58" s="29"/>
      <c r="S58" s="29"/>
    </row>
    <row r="59">
      <c r="A59" s="46"/>
      <c r="B59" s="52" t="s">
        <v>13</v>
      </c>
      <c r="C59" s="47" t="s">
        <v>39</v>
      </c>
      <c r="D59" s="47" t="s">
        <v>14</v>
      </c>
      <c r="E59" s="48">
        <v>170.0</v>
      </c>
      <c r="F59" s="49">
        <v>74.89667379102035</v>
      </c>
      <c r="G59" s="50">
        <v>67.44976264968206</v>
      </c>
      <c r="H59" s="49">
        <v>77.50995183277352</v>
      </c>
      <c r="I59" s="51">
        <v>71.79970612445715</v>
      </c>
      <c r="J59" s="50">
        <v>68.85657353789227</v>
      </c>
      <c r="K59" s="50">
        <v>65.95830550582845</v>
      </c>
      <c r="L59" s="50">
        <v>63.26453586946964</v>
      </c>
      <c r="M59" s="51">
        <v>61.81125107212864</v>
      </c>
      <c r="N59" s="29"/>
      <c r="O59" s="29"/>
      <c r="P59" s="29"/>
      <c r="Q59" s="29"/>
      <c r="R59" s="29"/>
      <c r="S59" s="29"/>
    </row>
    <row r="60">
      <c r="A60" s="46"/>
      <c r="B60" s="52" t="s">
        <v>13</v>
      </c>
      <c r="C60" s="52" t="s">
        <v>40</v>
      </c>
      <c r="D60" s="52" t="s">
        <v>14</v>
      </c>
      <c r="E60" s="53">
        <v>110.0</v>
      </c>
      <c r="F60" s="32">
        <v>51.899318405633366</v>
      </c>
      <c r="G60" s="33">
        <v>53.134887287821</v>
      </c>
      <c r="H60" s="32">
        <v>55.99211955699965</v>
      </c>
      <c r="I60" s="54">
        <v>50.39047604847762</v>
      </c>
      <c r="J60" s="33">
        <v>46.335039036740106</v>
      </c>
      <c r="K60" s="33">
        <v>40.47256232268781</v>
      </c>
      <c r="L60" s="33">
        <v>36.50791954921564</v>
      </c>
      <c r="M60" s="54">
        <v>35.39292169636965</v>
      </c>
      <c r="N60" s="29"/>
      <c r="O60" s="29"/>
      <c r="P60" s="29"/>
      <c r="Q60" s="29"/>
      <c r="R60" s="29"/>
      <c r="S60" s="29"/>
    </row>
    <row r="61">
      <c r="A61" s="46"/>
      <c r="B61" s="52" t="s">
        <v>13</v>
      </c>
      <c r="C61" s="52" t="s">
        <v>40</v>
      </c>
      <c r="D61" s="47" t="s">
        <v>14</v>
      </c>
      <c r="E61" s="48">
        <v>180.0</v>
      </c>
      <c r="F61" s="49">
        <v>93.21883012736915</v>
      </c>
      <c r="G61" s="50">
        <v>89.38190910198892</v>
      </c>
      <c r="H61" s="49">
        <v>92.05164511474129</v>
      </c>
      <c r="I61" s="51">
        <v>86.83945424747488</v>
      </c>
      <c r="J61" s="50">
        <v>83.41764917613503</v>
      </c>
      <c r="K61" s="50">
        <v>85.21627973910196</v>
      </c>
      <c r="L61" s="50">
        <v>74.83517364934731</v>
      </c>
      <c r="M61" s="51">
        <v>71.12043431700224</v>
      </c>
      <c r="N61" s="29"/>
      <c r="O61" s="29"/>
      <c r="P61" s="29"/>
      <c r="Q61" s="29"/>
      <c r="R61" s="29"/>
      <c r="S61" s="29"/>
    </row>
    <row r="62">
      <c r="A62" s="46"/>
      <c r="B62" s="47" t="s">
        <v>13</v>
      </c>
      <c r="C62" s="47" t="s">
        <v>40</v>
      </c>
      <c r="D62" s="47" t="s">
        <v>29</v>
      </c>
      <c r="E62" s="48">
        <v>220.0</v>
      </c>
      <c r="F62" s="49">
        <v>74.02835812850884</v>
      </c>
      <c r="G62" s="50">
        <v>75.60066014111013</v>
      </c>
      <c r="H62" s="49">
        <v>75.3737062724561</v>
      </c>
      <c r="I62" s="51">
        <v>75.17069040777017</v>
      </c>
      <c r="J62" s="50">
        <v>77.25896844113021</v>
      </c>
      <c r="K62" s="50">
        <v>77.62350914859573</v>
      </c>
      <c r="L62" s="50">
        <v>77.7215790199771</v>
      </c>
      <c r="M62" s="51">
        <v>77.91496667961056</v>
      </c>
      <c r="N62" s="29"/>
      <c r="O62" s="29"/>
      <c r="P62" s="29"/>
      <c r="Q62" s="29"/>
      <c r="R62" s="29"/>
      <c r="S62" s="29"/>
    </row>
    <row r="63">
      <c r="A63" s="27"/>
      <c r="B63" s="27"/>
      <c r="C63" s="27"/>
      <c r="D63" s="27"/>
      <c r="E63" s="40"/>
      <c r="F63" s="37"/>
      <c r="G63" s="38"/>
      <c r="H63" s="37"/>
      <c r="I63" s="43"/>
      <c r="J63" s="38"/>
      <c r="K63" s="38"/>
      <c r="L63" s="38"/>
      <c r="M63" s="43"/>
      <c r="N63" s="29"/>
      <c r="O63" s="29"/>
      <c r="P63" s="29"/>
      <c r="Q63" s="29"/>
      <c r="R63" s="29"/>
      <c r="S63" s="29"/>
    </row>
    <row r="64">
      <c r="A64" s="27"/>
      <c r="B64" s="27"/>
      <c r="C64" s="27"/>
      <c r="D64" s="27"/>
      <c r="E64" s="40" t="s">
        <v>75</v>
      </c>
      <c r="F64" s="41" t="s">
        <v>90</v>
      </c>
      <c r="G64" s="42" t="s">
        <v>90</v>
      </c>
      <c r="H64" s="41" t="s">
        <v>90</v>
      </c>
      <c r="I64" s="43" t="s">
        <v>90</v>
      </c>
      <c r="J64" s="42" t="s">
        <v>91</v>
      </c>
      <c r="K64" s="42" t="s">
        <v>91</v>
      </c>
      <c r="L64" s="42" t="s">
        <v>91</v>
      </c>
      <c r="M64" s="43" t="s">
        <v>91</v>
      </c>
      <c r="N64" s="29"/>
      <c r="O64" s="29"/>
      <c r="P64" s="29"/>
      <c r="Q64" s="29"/>
      <c r="R64" s="29"/>
      <c r="S64" s="29"/>
    </row>
    <row r="65">
      <c r="A65" s="27"/>
      <c r="B65" s="27"/>
      <c r="C65" s="27"/>
      <c r="D65" s="27"/>
      <c r="E65" s="45"/>
      <c r="F65" s="28" t="s">
        <v>51</v>
      </c>
      <c r="G65" s="29" t="s">
        <v>52</v>
      </c>
      <c r="H65" s="28" t="s">
        <v>53</v>
      </c>
      <c r="I65" s="55" t="s">
        <v>54</v>
      </c>
      <c r="J65" s="29" t="s">
        <v>51</v>
      </c>
      <c r="K65" s="29" t="s">
        <v>52</v>
      </c>
      <c r="L65" s="29" t="s">
        <v>53</v>
      </c>
      <c r="M65" s="55" t="s">
        <v>54</v>
      </c>
      <c r="N65" s="29"/>
      <c r="O65" s="29"/>
      <c r="P65" s="29"/>
      <c r="Q65" s="29"/>
      <c r="R65" s="29"/>
      <c r="S65" s="29"/>
    </row>
    <row r="66">
      <c r="A66" s="27"/>
      <c r="B66" s="27"/>
      <c r="C66" s="27"/>
      <c r="D66" s="46"/>
      <c r="E66" s="49">
        <v>180.0</v>
      </c>
      <c r="F66" s="34">
        <f t="shared" ref="F66:M66" si="9">$F48*F57</f>
        <v>2.652265141</v>
      </c>
      <c r="G66" s="34">
        <f t="shared" si="9"/>
        <v>2.779383843</v>
      </c>
      <c r="H66" s="34">
        <f t="shared" si="9"/>
        <v>2.673941563</v>
      </c>
      <c r="I66" s="34">
        <f t="shared" si="9"/>
        <v>2.526588277</v>
      </c>
      <c r="J66" s="34">
        <f t="shared" si="9"/>
        <v>2.392864257</v>
      </c>
      <c r="K66" s="34">
        <f t="shared" si="9"/>
        <v>1.952336524</v>
      </c>
      <c r="L66" s="34">
        <f t="shared" si="9"/>
        <v>2.063461786</v>
      </c>
      <c r="M66" s="34">
        <f t="shared" si="9"/>
        <v>1.903194227</v>
      </c>
      <c r="N66" s="29"/>
      <c r="O66" s="29"/>
      <c r="P66" s="29"/>
      <c r="Q66" s="29"/>
      <c r="R66" s="29"/>
      <c r="S66" s="29"/>
    </row>
    <row r="67">
      <c r="A67" s="27"/>
      <c r="B67" s="27"/>
      <c r="C67" s="27"/>
      <c r="D67" s="46"/>
      <c r="E67" s="32">
        <v>110.0</v>
      </c>
      <c r="F67" s="34">
        <f t="shared" ref="F67:M67" si="10">$F49*F58</f>
        <v>1.871539724</v>
      </c>
      <c r="G67" s="34">
        <f t="shared" si="10"/>
        <v>1.64282781</v>
      </c>
      <c r="H67" s="34">
        <f t="shared" si="10"/>
        <v>1.950489158</v>
      </c>
      <c r="I67" s="34">
        <f t="shared" si="10"/>
        <v>2.060440092</v>
      </c>
      <c r="J67" s="34">
        <f t="shared" si="10"/>
        <v>2.156577815</v>
      </c>
      <c r="K67" s="34">
        <f t="shared" si="10"/>
        <v>2.108033661</v>
      </c>
      <c r="L67" s="34">
        <f t="shared" si="10"/>
        <v>2.296693491</v>
      </c>
      <c r="M67" s="34">
        <f t="shared" si="10"/>
        <v>2.206151627</v>
      </c>
      <c r="N67" s="29"/>
      <c r="O67" s="29"/>
      <c r="P67" s="29"/>
      <c r="Q67" s="29"/>
      <c r="R67" s="29"/>
      <c r="S67" s="29"/>
    </row>
    <row r="68">
      <c r="A68" s="27"/>
      <c r="B68" s="27"/>
      <c r="C68" s="27"/>
      <c r="D68" s="46"/>
      <c r="E68" s="49">
        <v>170.0</v>
      </c>
      <c r="F68" s="34">
        <f t="shared" ref="F68:M68" si="11">$F50*F59</f>
        <v>5.991733903</v>
      </c>
      <c r="G68" s="34">
        <f t="shared" si="11"/>
        <v>5.395981012</v>
      </c>
      <c r="H68" s="34">
        <f t="shared" si="11"/>
        <v>6.200796147</v>
      </c>
      <c r="I68" s="34">
        <f t="shared" si="11"/>
        <v>5.74397649</v>
      </c>
      <c r="J68" s="34">
        <f t="shared" si="11"/>
        <v>5.508525883</v>
      </c>
      <c r="K68" s="34">
        <f t="shared" si="11"/>
        <v>5.27666444</v>
      </c>
      <c r="L68" s="34">
        <f t="shared" si="11"/>
        <v>5.06116287</v>
      </c>
      <c r="M68" s="34">
        <f t="shared" si="11"/>
        <v>4.944900086</v>
      </c>
      <c r="N68" s="29"/>
      <c r="O68" s="29"/>
      <c r="P68" s="29"/>
      <c r="Q68" s="29"/>
      <c r="R68" s="29"/>
      <c r="S68" s="29"/>
    </row>
    <row r="69">
      <c r="A69" s="27"/>
      <c r="B69" s="27"/>
      <c r="C69" s="27"/>
      <c r="D69" s="46"/>
      <c r="E69" s="32">
        <v>110.0</v>
      </c>
      <c r="F69" s="34">
        <f t="shared" ref="F69:M69" si="12">$F51*F60</f>
        <v>1.556979552</v>
      </c>
      <c r="G69" s="34">
        <f t="shared" si="12"/>
        <v>1.594046619</v>
      </c>
      <c r="H69" s="34">
        <f t="shared" si="12"/>
        <v>1.679763587</v>
      </c>
      <c r="I69" s="34">
        <f t="shared" si="12"/>
        <v>1.511714281</v>
      </c>
      <c r="J69" s="34">
        <f t="shared" si="12"/>
        <v>1.390051171</v>
      </c>
      <c r="K69" s="34">
        <f t="shared" si="12"/>
        <v>1.21417687</v>
      </c>
      <c r="L69" s="34">
        <f t="shared" si="12"/>
        <v>1.095237586</v>
      </c>
      <c r="M69" s="34">
        <f t="shared" si="12"/>
        <v>1.061787651</v>
      </c>
      <c r="N69" s="29"/>
      <c r="O69" s="29"/>
      <c r="P69" s="29"/>
      <c r="Q69" s="29"/>
      <c r="R69" s="29"/>
      <c r="S69" s="29"/>
    </row>
    <row r="70">
      <c r="A70" s="27"/>
      <c r="B70" s="27"/>
      <c r="C70" s="27"/>
      <c r="D70" s="46"/>
      <c r="E70" s="49">
        <v>180.0</v>
      </c>
      <c r="F70" s="34">
        <f t="shared" ref="F70:M70" si="13">$F52*F61</f>
        <v>8.389694711</v>
      </c>
      <c r="G70" s="34">
        <f t="shared" si="13"/>
        <v>8.044371819</v>
      </c>
      <c r="H70" s="34">
        <f t="shared" si="13"/>
        <v>8.28464806</v>
      </c>
      <c r="I70" s="34">
        <f t="shared" si="13"/>
        <v>7.815550882</v>
      </c>
      <c r="J70" s="34">
        <f t="shared" si="13"/>
        <v>7.507588426</v>
      </c>
      <c r="K70" s="34">
        <f t="shared" si="13"/>
        <v>7.669465177</v>
      </c>
      <c r="L70" s="34">
        <f t="shared" si="13"/>
        <v>6.735165628</v>
      </c>
      <c r="M70" s="34">
        <f t="shared" si="13"/>
        <v>6.400839089</v>
      </c>
      <c r="N70" s="29"/>
      <c r="O70" s="29"/>
      <c r="P70" s="29"/>
      <c r="Q70" s="29"/>
      <c r="R70" s="29"/>
      <c r="S70" s="29"/>
    </row>
    <row r="71">
      <c r="A71" s="27"/>
      <c r="B71" s="27"/>
      <c r="C71" s="27"/>
      <c r="D71" s="46"/>
      <c r="E71" s="49">
        <v>220.0</v>
      </c>
      <c r="F71" s="34">
        <f t="shared" ref="F71:M71" si="14">$F53*F62</f>
        <v>9.623686557</v>
      </c>
      <c r="G71" s="34">
        <f t="shared" si="14"/>
        <v>9.828085818</v>
      </c>
      <c r="H71" s="34">
        <f t="shared" si="14"/>
        <v>9.798581815</v>
      </c>
      <c r="I71" s="34">
        <f t="shared" si="14"/>
        <v>9.772189753</v>
      </c>
      <c r="J71" s="34">
        <f t="shared" si="14"/>
        <v>10.0436659</v>
      </c>
      <c r="K71" s="34">
        <f t="shared" si="14"/>
        <v>10.09105619</v>
      </c>
      <c r="L71" s="34">
        <f t="shared" si="14"/>
        <v>10.10380527</v>
      </c>
      <c r="M71" s="34">
        <f t="shared" si="14"/>
        <v>10.12894567</v>
      </c>
      <c r="N71" s="29"/>
      <c r="O71" s="29"/>
      <c r="P71" s="29"/>
      <c r="Q71" s="29"/>
      <c r="R71" s="29"/>
      <c r="S71" s="29"/>
    </row>
    <row r="72">
      <c r="A72" s="27"/>
      <c r="B72" s="27"/>
      <c r="C72" s="27"/>
      <c r="D72" s="27"/>
      <c r="E72" s="28"/>
      <c r="F72" s="34">
        <f t="shared" ref="F72:M72" si="15">SUM(F66:F71)</f>
        <v>30.08589959</v>
      </c>
      <c r="G72" s="34">
        <f t="shared" si="15"/>
        <v>29.28469692</v>
      </c>
      <c r="H72" s="34">
        <f t="shared" si="15"/>
        <v>30.58822033</v>
      </c>
      <c r="I72" s="34">
        <f t="shared" si="15"/>
        <v>29.43045978</v>
      </c>
      <c r="J72" s="34">
        <f t="shared" si="15"/>
        <v>28.99927345</v>
      </c>
      <c r="K72" s="34">
        <f t="shared" si="15"/>
        <v>28.31173286</v>
      </c>
      <c r="L72" s="34">
        <f t="shared" si="15"/>
        <v>27.35552663</v>
      </c>
      <c r="M72" s="34">
        <f t="shared" si="15"/>
        <v>26.64581835</v>
      </c>
      <c r="N72" s="29"/>
      <c r="O72" s="29"/>
      <c r="P72" s="29"/>
      <c r="Q72" s="29"/>
      <c r="R72" s="29"/>
      <c r="S72" s="29"/>
    </row>
    <row r="73">
      <c r="A73" s="27"/>
      <c r="B73" s="27"/>
      <c r="C73" s="27"/>
      <c r="D73" s="27"/>
      <c r="E73" s="28"/>
      <c r="F73" s="37"/>
      <c r="G73" s="38"/>
      <c r="H73" s="37"/>
      <c r="I73" s="38"/>
      <c r="J73" s="38"/>
      <c r="K73" s="38"/>
      <c r="L73" s="38"/>
      <c r="M73" s="38"/>
      <c r="N73" s="29"/>
      <c r="O73" s="29"/>
      <c r="P73" s="29"/>
      <c r="Q73" s="29"/>
      <c r="R73" s="29"/>
      <c r="S73" s="29"/>
    </row>
    <row r="74">
      <c r="A74" s="27"/>
      <c r="B74" s="27"/>
      <c r="C74" s="27"/>
      <c r="D74" s="27"/>
      <c r="E74" s="40" t="s">
        <v>92</v>
      </c>
      <c r="F74" s="41" t="s">
        <v>90</v>
      </c>
      <c r="G74" s="42" t="s">
        <v>90</v>
      </c>
      <c r="H74" s="41" t="s">
        <v>90</v>
      </c>
      <c r="I74" s="43" t="s">
        <v>90</v>
      </c>
      <c r="J74" s="42" t="s">
        <v>91</v>
      </c>
      <c r="K74" s="42" t="s">
        <v>91</v>
      </c>
      <c r="L74" s="42" t="s">
        <v>91</v>
      </c>
      <c r="M74" s="43" t="s">
        <v>91</v>
      </c>
      <c r="N74" s="29"/>
      <c r="O74" s="29"/>
      <c r="P74" s="29"/>
      <c r="Q74" s="29"/>
      <c r="R74" s="29"/>
      <c r="S74" s="29"/>
    </row>
    <row r="75">
      <c r="A75" s="27"/>
      <c r="B75" s="27"/>
      <c r="C75" s="27"/>
      <c r="D75" s="27"/>
      <c r="E75" s="45"/>
      <c r="F75" s="28" t="s">
        <v>51</v>
      </c>
      <c r="G75" s="29" t="s">
        <v>52</v>
      </c>
      <c r="H75" s="28" t="s">
        <v>53</v>
      </c>
      <c r="I75" s="55" t="s">
        <v>54</v>
      </c>
      <c r="J75" s="29" t="s">
        <v>51</v>
      </c>
      <c r="K75" s="29" t="s">
        <v>52</v>
      </c>
      <c r="L75" s="29" t="s">
        <v>53</v>
      </c>
      <c r="M75" s="55" t="s">
        <v>54</v>
      </c>
      <c r="N75" s="29"/>
      <c r="O75" s="29"/>
      <c r="P75" s="29"/>
      <c r="Q75" s="29"/>
      <c r="R75" s="29"/>
      <c r="S75" s="29"/>
    </row>
    <row r="76">
      <c r="A76" s="27"/>
      <c r="B76" s="27"/>
      <c r="C76" s="27"/>
      <c r="D76" s="46"/>
      <c r="E76" s="49">
        <v>180.0</v>
      </c>
      <c r="F76" s="34">
        <f t="shared" ref="F76:M76" si="16">$G48*F57</f>
        <v>5599226.41</v>
      </c>
      <c r="G76" s="34">
        <f t="shared" si="16"/>
        <v>5867588.113</v>
      </c>
      <c r="H76" s="34">
        <f t="shared" si="16"/>
        <v>5644987.744</v>
      </c>
      <c r="I76" s="34">
        <f t="shared" si="16"/>
        <v>5333908.585</v>
      </c>
      <c r="J76" s="34">
        <f t="shared" si="16"/>
        <v>5051602.32</v>
      </c>
      <c r="K76" s="34">
        <f t="shared" si="16"/>
        <v>4121599.328</v>
      </c>
      <c r="L76" s="34">
        <f t="shared" si="16"/>
        <v>4356197.103</v>
      </c>
      <c r="M76" s="34">
        <f t="shared" si="16"/>
        <v>4017854.479</v>
      </c>
      <c r="N76" s="29"/>
      <c r="O76" s="29"/>
      <c r="P76" s="29"/>
      <c r="Q76" s="29"/>
      <c r="R76" s="29"/>
      <c r="S76" s="29"/>
    </row>
    <row r="77">
      <c r="A77" s="27"/>
      <c r="B77" s="27"/>
      <c r="C77" s="27"/>
      <c r="D77" s="46"/>
      <c r="E77" s="32">
        <v>110.0</v>
      </c>
      <c r="F77" s="34">
        <f t="shared" ref="F77:M77" si="17">$G49*F58</f>
        <v>3743079.448</v>
      </c>
      <c r="G77" s="34">
        <f t="shared" si="17"/>
        <v>3285655.619</v>
      </c>
      <c r="H77" s="34">
        <f t="shared" si="17"/>
        <v>3900978.316</v>
      </c>
      <c r="I77" s="34">
        <f t="shared" si="17"/>
        <v>4120880.184</v>
      </c>
      <c r="J77" s="34">
        <f t="shared" si="17"/>
        <v>4313155.631</v>
      </c>
      <c r="K77" s="34">
        <f t="shared" si="17"/>
        <v>4216067.322</v>
      </c>
      <c r="L77" s="34">
        <f t="shared" si="17"/>
        <v>4593386.981</v>
      </c>
      <c r="M77" s="34">
        <f t="shared" si="17"/>
        <v>4412303.254</v>
      </c>
      <c r="N77" s="29"/>
      <c r="O77" s="29"/>
      <c r="P77" s="29"/>
      <c r="Q77" s="29"/>
      <c r="R77" s="29"/>
      <c r="S77" s="29"/>
    </row>
    <row r="78">
      <c r="A78" s="27"/>
      <c r="B78" s="27"/>
      <c r="C78" s="27"/>
      <c r="D78" s="46"/>
      <c r="E78" s="49">
        <v>170.0</v>
      </c>
      <c r="F78" s="34">
        <f t="shared" ref="F78:M78" si="18">$G50*F59</f>
        <v>11234501.07</v>
      </c>
      <c r="G78" s="34">
        <f t="shared" si="18"/>
        <v>10117464.4</v>
      </c>
      <c r="H78" s="34">
        <f t="shared" si="18"/>
        <v>11626492.77</v>
      </c>
      <c r="I78" s="34">
        <f t="shared" si="18"/>
        <v>10769955.92</v>
      </c>
      <c r="J78" s="34">
        <f t="shared" si="18"/>
        <v>10328486.03</v>
      </c>
      <c r="K78" s="34">
        <f t="shared" si="18"/>
        <v>9893745.826</v>
      </c>
      <c r="L78" s="34">
        <f t="shared" si="18"/>
        <v>9489680.38</v>
      </c>
      <c r="M78" s="34">
        <f t="shared" si="18"/>
        <v>9271687.661</v>
      </c>
      <c r="N78" s="29"/>
      <c r="O78" s="29"/>
      <c r="P78" s="29"/>
      <c r="Q78" s="29"/>
      <c r="R78" s="29"/>
      <c r="S78" s="29"/>
    </row>
    <row r="79">
      <c r="A79" s="27"/>
      <c r="B79" s="27"/>
      <c r="C79" s="27"/>
      <c r="D79" s="46"/>
      <c r="E79" s="32">
        <v>110.0</v>
      </c>
      <c r="F79" s="34">
        <f t="shared" ref="F79:M79" si="19">$G51*F60</f>
        <v>6227918.209</v>
      </c>
      <c r="G79" s="34">
        <f t="shared" si="19"/>
        <v>6376186.475</v>
      </c>
      <c r="H79" s="34">
        <f t="shared" si="19"/>
        <v>6719054.347</v>
      </c>
      <c r="I79" s="34">
        <f t="shared" si="19"/>
        <v>6046857.126</v>
      </c>
      <c r="J79" s="34">
        <f t="shared" si="19"/>
        <v>5560204.684</v>
      </c>
      <c r="K79" s="34">
        <f t="shared" si="19"/>
        <v>4856707.479</v>
      </c>
      <c r="L79" s="34">
        <f t="shared" si="19"/>
        <v>4380950.346</v>
      </c>
      <c r="M79" s="34">
        <f t="shared" si="19"/>
        <v>4247150.604</v>
      </c>
      <c r="N79" s="29"/>
      <c r="O79" s="29"/>
      <c r="P79" s="29"/>
      <c r="Q79" s="29"/>
      <c r="R79" s="29"/>
      <c r="S79" s="29"/>
    </row>
    <row r="80">
      <c r="A80" s="27"/>
      <c r="B80" s="27"/>
      <c r="C80" s="27"/>
      <c r="D80" s="46"/>
      <c r="E80" s="49">
        <v>180.0</v>
      </c>
      <c r="F80" s="34">
        <f t="shared" ref="F80:M80" si="20">$G52*F61</f>
        <v>16779389.42</v>
      </c>
      <c r="G80" s="34">
        <f t="shared" si="20"/>
        <v>16088743.64</v>
      </c>
      <c r="H80" s="34">
        <f t="shared" si="20"/>
        <v>16569296.12</v>
      </c>
      <c r="I80" s="34">
        <f t="shared" si="20"/>
        <v>15631101.76</v>
      </c>
      <c r="J80" s="34">
        <f t="shared" si="20"/>
        <v>15015176.85</v>
      </c>
      <c r="K80" s="34">
        <f t="shared" si="20"/>
        <v>15338930.35</v>
      </c>
      <c r="L80" s="34">
        <f t="shared" si="20"/>
        <v>13470331.26</v>
      </c>
      <c r="M80" s="34">
        <f t="shared" si="20"/>
        <v>12801678.18</v>
      </c>
      <c r="N80" s="29"/>
      <c r="O80" s="29"/>
      <c r="P80" s="29"/>
      <c r="Q80" s="29"/>
      <c r="R80" s="29"/>
      <c r="S80" s="29"/>
    </row>
    <row r="81">
      <c r="A81" s="27"/>
      <c r="B81" s="27"/>
      <c r="C81" s="27"/>
      <c r="D81" s="46"/>
      <c r="E81" s="49">
        <v>220.0</v>
      </c>
      <c r="F81" s="34">
        <f t="shared" ref="F81:M81" si="21">$G53*F62</f>
        <v>17396664.16</v>
      </c>
      <c r="G81" s="34">
        <f t="shared" si="21"/>
        <v>17766155.13</v>
      </c>
      <c r="H81" s="34">
        <f t="shared" si="21"/>
        <v>17712820.97</v>
      </c>
      <c r="I81" s="34">
        <f t="shared" si="21"/>
        <v>17665112.25</v>
      </c>
      <c r="J81" s="34">
        <f t="shared" si="21"/>
        <v>18155857.58</v>
      </c>
      <c r="K81" s="34">
        <f t="shared" si="21"/>
        <v>18241524.65</v>
      </c>
      <c r="L81" s="34">
        <f t="shared" si="21"/>
        <v>18264571.07</v>
      </c>
      <c r="M81" s="34">
        <f t="shared" si="21"/>
        <v>18310017.17</v>
      </c>
      <c r="N81" s="29"/>
      <c r="O81" s="29"/>
      <c r="P81" s="29"/>
      <c r="Q81" s="29"/>
      <c r="R81" s="29"/>
      <c r="S81" s="29"/>
    </row>
    <row r="82">
      <c r="A82" s="27"/>
      <c r="B82" s="27"/>
      <c r="C82" s="27"/>
      <c r="D82" s="27"/>
      <c r="E82" s="28"/>
      <c r="F82" s="34">
        <f t="shared" ref="F82:M82" si="22">SUM(F76:F81)</f>
        <v>60980778.72</v>
      </c>
      <c r="G82" s="34">
        <f t="shared" si="22"/>
        <v>59501793.38</v>
      </c>
      <c r="H82" s="34">
        <f t="shared" si="22"/>
        <v>62173630.28</v>
      </c>
      <c r="I82" s="34">
        <f t="shared" si="22"/>
        <v>59567815.82</v>
      </c>
      <c r="J82" s="34">
        <f t="shared" si="22"/>
        <v>58424483.1</v>
      </c>
      <c r="K82" s="34">
        <f t="shared" si="22"/>
        <v>56668574.96</v>
      </c>
      <c r="L82" s="34">
        <f t="shared" si="22"/>
        <v>54555117.14</v>
      </c>
      <c r="M82" s="34">
        <f t="shared" si="22"/>
        <v>53060691.34</v>
      </c>
      <c r="N82" s="29"/>
      <c r="O82" s="29"/>
      <c r="P82" s="29"/>
      <c r="Q82" s="29"/>
      <c r="R82" s="29"/>
      <c r="S82" s="29"/>
    </row>
    <row r="83">
      <c r="A83" s="27"/>
      <c r="B83" s="27"/>
      <c r="C83" s="27"/>
      <c r="D83" s="27"/>
      <c r="E83" s="28"/>
      <c r="F83" s="37"/>
      <c r="G83" s="38"/>
      <c r="H83" s="37"/>
      <c r="I83" s="38"/>
      <c r="J83" s="38"/>
      <c r="K83" s="38"/>
      <c r="L83" s="38"/>
      <c r="M83" s="38"/>
      <c r="N83" s="29"/>
      <c r="O83" s="29"/>
      <c r="P83" s="29"/>
      <c r="Q83" s="29"/>
      <c r="R83" s="29"/>
      <c r="S83" s="29"/>
    </row>
    <row r="84">
      <c r="A84" s="27"/>
      <c r="B84" s="27"/>
      <c r="C84" s="27"/>
      <c r="D84" s="27"/>
      <c r="E84" s="40" t="s">
        <v>31</v>
      </c>
      <c r="F84" s="41" t="s">
        <v>90</v>
      </c>
      <c r="G84" s="42" t="s">
        <v>90</v>
      </c>
      <c r="H84" s="41" t="s">
        <v>90</v>
      </c>
      <c r="I84" s="43" t="s">
        <v>90</v>
      </c>
      <c r="J84" s="42" t="s">
        <v>91</v>
      </c>
      <c r="K84" s="42" t="s">
        <v>91</v>
      </c>
      <c r="L84" s="42" t="s">
        <v>91</v>
      </c>
      <c r="M84" s="43" t="s">
        <v>91</v>
      </c>
      <c r="N84" s="29"/>
      <c r="O84" s="29"/>
      <c r="P84" s="29"/>
      <c r="Q84" s="29"/>
      <c r="R84" s="29"/>
      <c r="S84" s="29"/>
    </row>
    <row r="85">
      <c r="A85" s="27"/>
      <c r="B85" s="44"/>
      <c r="C85" s="44"/>
      <c r="D85" s="44"/>
      <c r="E85" s="45"/>
      <c r="F85" s="28" t="s">
        <v>51</v>
      </c>
      <c r="G85" s="29" t="s">
        <v>52</v>
      </c>
      <c r="H85" s="28" t="s">
        <v>53</v>
      </c>
      <c r="I85" s="55" t="s">
        <v>54</v>
      </c>
      <c r="J85" s="29" t="s">
        <v>51</v>
      </c>
      <c r="K85" s="29" t="s">
        <v>52</v>
      </c>
      <c r="L85" s="29" t="s">
        <v>53</v>
      </c>
      <c r="M85" s="55" t="s">
        <v>54</v>
      </c>
      <c r="N85" s="29"/>
      <c r="O85" s="29"/>
      <c r="P85" s="29"/>
      <c r="Q85" s="29"/>
      <c r="R85" s="29"/>
      <c r="S85" s="29"/>
    </row>
    <row r="86">
      <c r="A86" s="46"/>
      <c r="B86" s="46" t="s">
        <v>31</v>
      </c>
      <c r="C86" s="46" t="s">
        <v>40</v>
      </c>
      <c r="D86" s="46" t="s">
        <v>14</v>
      </c>
      <c r="E86" s="49">
        <v>180.0</v>
      </c>
      <c r="F86" s="34">
        <f t="shared" ref="F86:M86" si="23">$I48*F57</f>
        <v>2.946961268</v>
      </c>
      <c r="G86" s="34">
        <f t="shared" si="23"/>
        <v>3.08820427</v>
      </c>
      <c r="H86" s="34">
        <f t="shared" si="23"/>
        <v>2.971046181</v>
      </c>
      <c r="I86" s="34">
        <f t="shared" si="23"/>
        <v>2.807320308</v>
      </c>
      <c r="J86" s="34">
        <f t="shared" si="23"/>
        <v>2.658738063</v>
      </c>
      <c r="K86" s="34">
        <f t="shared" si="23"/>
        <v>2.169262804</v>
      </c>
      <c r="L86" s="34">
        <f t="shared" si="23"/>
        <v>2.292735318</v>
      </c>
      <c r="M86" s="34">
        <f t="shared" si="23"/>
        <v>2.114660252</v>
      </c>
      <c r="N86" s="29"/>
      <c r="O86" s="29"/>
      <c r="P86" s="29"/>
      <c r="Q86" s="29"/>
      <c r="R86" s="29"/>
      <c r="S86" s="29"/>
    </row>
    <row r="87">
      <c r="A87" s="27"/>
      <c r="B87" s="27"/>
      <c r="C87" s="27"/>
      <c r="D87" s="46"/>
      <c r="E87" s="32">
        <v>110.0</v>
      </c>
      <c r="F87" s="34">
        <f t="shared" ref="F87:M87" si="24">$I49*F58</f>
        <v>0</v>
      </c>
      <c r="G87" s="34">
        <f t="shared" si="24"/>
        <v>0</v>
      </c>
      <c r="H87" s="34">
        <f t="shared" si="24"/>
        <v>0</v>
      </c>
      <c r="I87" s="34">
        <f t="shared" si="24"/>
        <v>0</v>
      </c>
      <c r="J87" s="34">
        <f t="shared" si="24"/>
        <v>0</v>
      </c>
      <c r="K87" s="34">
        <f t="shared" si="24"/>
        <v>0</v>
      </c>
      <c r="L87" s="34">
        <f t="shared" si="24"/>
        <v>0</v>
      </c>
      <c r="M87" s="34">
        <f t="shared" si="24"/>
        <v>0</v>
      </c>
      <c r="N87" s="29"/>
      <c r="O87" s="29"/>
      <c r="P87" s="29"/>
      <c r="Q87" s="29"/>
      <c r="R87" s="29"/>
      <c r="S87" s="29"/>
    </row>
    <row r="88">
      <c r="A88" s="27"/>
      <c r="B88" s="27"/>
      <c r="C88" s="27"/>
      <c r="D88" s="46"/>
      <c r="E88" s="49">
        <v>170.0</v>
      </c>
      <c r="F88" s="34">
        <f t="shared" ref="F88:M88" si="25">$I50*F59</f>
        <v>0</v>
      </c>
      <c r="G88" s="34">
        <f t="shared" si="25"/>
        <v>0</v>
      </c>
      <c r="H88" s="34">
        <f t="shared" si="25"/>
        <v>0</v>
      </c>
      <c r="I88" s="34">
        <f t="shared" si="25"/>
        <v>0</v>
      </c>
      <c r="J88" s="34">
        <f t="shared" si="25"/>
        <v>0</v>
      </c>
      <c r="K88" s="34">
        <f t="shared" si="25"/>
        <v>0</v>
      </c>
      <c r="L88" s="34">
        <f t="shared" si="25"/>
        <v>0</v>
      </c>
      <c r="M88" s="34">
        <f t="shared" si="25"/>
        <v>0</v>
      </c>
      <c r="N88" s="29"/>
      <c r="O88" s="29"/>
      <c r="P88" s="29"/>
      <c r="Q88" s="29"/>
      <c r="R88" s="29"/>
      <c r="S88" s="29"/>
    </row>
    <row r="89">
      <c r="A89" s="27"/>
      <c r="B89" s="27"/>
      <c r="C89" s="27"/>
      <c r="D89" s="46"/>
      <c r="E89" s="32">
        <v>110.0</v>
      </c>
      <c r="F89" s="34">
        <f t="shared" ref="F89:M89" si="26">$I51*F60</f>
        <v>0</v>
      </c>
      <c r="G89" s="34">
        <f t="shared" si="26"/>
        <v>0</v>
      </c>
      <c r="H89" s="34">
        <f t="shared" si="26"/>
        <v>0</v>
      </c>
      <c r="I89" s="34">
        <f t="shared" si="26"/>
        <v>0</v>
      </c>
      <c r="J89" s="34">
        <f t="shared" si="26"/>
        <v>0</v>
      </c>
      <c r="K89" s="34">
        <f t="shared" si="26"/>
        <v>0</v>
      </c>
      <c r="L89" s="34">
        <f t="shared" si="26"/>
        <v>0</v>
      </c>
      <c r="M89" s="34">
        <f t="shared" si="26"/>
        <v>0</v>
      </c>
      <c r="N89" s="29"/>
      <c r="O89" s="29"/>
      <c r="P89" s="29"/>
      <c r="Q89" s="29"/>
      <c r="R89" s="29"/>
      <c r="S89" s="29"/>
    </row>
    <row r="90">
      <c r="A90" s="27"/>
      <c r="B90" s="27"/>
      <c r="C90" s="27"/>
      <c r="D90" s="46"/>
      <c r="E90" s="49">
        <v>180.0</v>
      </c>
      <c r="F90" s="34">
        <f t="shared" ref="F90:M90" si="27">$I52*F61</f>
        <v>0</v>
      </c>
      <c r="G90" s="34">
        <f t="shared" si="27"/>
        <v>0</v>
      </c>
      <c r="H90" s="34">
        <f t="shared" si="27"/>
        <v>0</v>
      </c>
      <c r="I90" s="34">
        <f t="shared" si="27"/>
        <v>0</v>
      </c>
      <c r="J90" s="34">
        <f t="shared" si="27"/>
        <v>0</v>
      </c>
      <c r="K90" s="34">
        <f t="shared" si="27"/>
        <v>0</v>
      </c>
      <c r="L90" s="34">
        <f t="shared" si="27"/>
        <v>0</v>
      </c>
      <c r="M90" s="34">
        <f t="shared" si="27"/>
        <v>0</v>
      </c>
      <c r="N90" s="29"/>
      <c r="O90" s="29"/>
      <c r="P90" s="29"/>
      <c r="Q90" s="29"/>
      <c r="R90" s="29"/>
      <c r="S90" s="29"/>
    </row>
    <row r="91">
      <c r="A91" s="27"/>
      <c r="B91" s="27"/>
      <c r="C91" s="27"/>
      <c r="D91" s="46"/>
      <c r="E91" s="49">
        <v>220.0</v>
      </c>
      <c r="F91" s="34">
        <f t="shared" ref="F91:M91" si="28">$I53*F62</f>
        <v>0</v>
      </c>
      <c r="G91" s="34">
        <f t="shared" si="28"/>
        <v>0</v>
      </c>
      <c r="H91" s="34">
        <f t="shared" si="28"/>
        <v>0</v>
      </c>
      <c r="I91" s="34">
        <f t="shared" si="28"/>
        <v>0</v>
      </c>
      <c r="J91" s="34">
        <f t="shared" si="28"/>
        <v>0</v>
      </c>
      <c r="K91" s="34">
        <f t="shared" si="28"/>
        <v>0</v>
      </c>
      <c r="L91" s="34">
        <f t="shared" si="28"/>
        <v>0</v>
      </c>
      <c r="M91" s="34">
        <f t="shared" si="28"/>
        <v>0</v>
      </c>
      <c r="N91" s="29"/>
      <c r="O91" s="29"/>
      <c r="P91" s="29"/>
      <c r="Q91" s="29"/>
      <c r="R91" s="29"/>
      <c r="S91" s="29"/>
    </row>
    <row r="92">
      <c r="A92" s="27"/>
      <c r="B92" s="27"/>
      <c r="C92" s="27"/>
      <c r="D92" s="27"/>
      <c r="E92" s="28"/>
      <c r="F92" s="34">
        <f t="shared" ref="F92:M92" si="29">SUM(F86:F91)</f>
        <v>2.946961268</v>
      </c>
      <c r="G92" s="34">
        <f t="shared" si="29"/>
        <v>3.08820427</v>
      </c>
      <c r="H92" s="34">
        <f t="shared" si="29"/>
        <v>2.971046181</v>
      </c>
      <c r="I92" s="34">
        <f t="shared" si="29"/>
        <v>2.807320308</v>
      </c>
      <c r="J92" s="34">
        <f t="shared" si="29"/>
        <v>2.658738063</v>
      </c>
      <c r="K92" s="34">
        <f t="shared" si="29"/>
        <v>2.169262804</v>
      </c>
      <c r="L92" s="34">
        <f t="shared" si="29"/>
        <v>2.292735318</v>
      </c>
      <c r="M92" s="34">
        <f t="shared" si="29"/>
        <v>2.114660252</v>
      </c>
      <c r="N92" s="29"/>
      <c r="O92" s="29"/>
      <c r="P92" s="29"/>
      <c r="Q92" s="29"/>
      <c r="R92" s="29"/>
      <c r="S92" s="29"/>
    </row>
    <row r="93">
      <c r="A93" s="27"/>
      <c r="B93" s="27"/>
      <c r="C93" s="27"/>
      <c r="D93" s="27"/>
      <c r="E93" s="28"/>
      <c r="F93" s="28"/>
      <c r="G93" s="29"/>
      <c r="H93" s="28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</row>
    <row r="94">
      <c r="A94" s="27"/>
      <c r="B94" s="27"/>
      <c r="C94" s="27"/>
      <c r="D94" s="27"/>
      <c r="E94" s="28"/>
      <c r="F94" s="37"/>
      <c r="G94" s="38"/>
      <c r="H94" s="37"/>
      <c r="I94" s="38"/>
      <c r="J94" s="38"/>
      <c r="K94" s="38"/>
      <c r="L94" s="38"/>
      <c r="M94" s="38"/>
      <c r="N94" s="29"/>
      <c r="O94" s="29"/>
      <c r="P94" s="29"/>
      <c r="Q94" s="29"/>
      <c r="R94" s="29"/>
      <c r="S94" s="29"/>
    </row>
    <row r="95">
      <c r="A95" s="27"/>
      <c r="B95" s="27"/>
      <c r="C95" s="27"/>
      <c r="D95" s="27"/>
      <c r="E95" s="40" t="s">
        <v>93</v>
      </c>
      <c r="F95" s="41" t="s">
        <v>90</v>
      </c>
      <c r="G95" s="42" t="s">
        <v>90</v>
      </c>
      <c r="H95" s="41" t="s">
        <v>90</v>
      </c>
      <c r="I95" s="43" t="s">
        <v>90</v>
      </c>
      <c r="J95" s="42" t="s">
        <v>91</v>
      </c>
      <c r="K95" s="42" t="s">
        <v>91</v>
      </c>
      <c r="L95" s="42" t="s">
        <v>91</v>
      </c>
      <c r="M95" s="43" t="s">
        <v>91</v>
      </c>
      <c r="N95" s="29"/>
      <c r="O95" s="29"/>
      <c r="P95" s="29"/>
      <c r="Q95" s="29"/>
      <c r="R95" s="29"/>
      <c r="S95" s="29"/>
    </row>
    <row r="96">
      <c r="A96" s="27"/>
      <c r="B96" s="27"/>
      <c r="C96" s="27"/>
      <c r="D96" s="27"/>
      <c r="E96" s="45"/>
      <c r="F96" s="28" t="s">
        <v>51</v>
      </c>
      <c r="G96" s="29" t="s">
        <v>52</v>
      </c>
      <c r="H96" s="28" t="s">
        <v>53</v>
      </c>
      <c r="I96" s="55" t="s">
        <v>54</v>
      </c>
      <c r="J96" s="29" t="s">
        <v>51</v>
      </c>
      <c r="K96" s="29" t="s">
        <v>52</v>
      </c>
      <c r="L96" s="29" t="s">
        <v>53</v>
      </c>
      <c r="M96" s="55" t="s">
        <v>54</v>
      </c>
      <c r="N96" s="29"/>
      <c r="O96" s="29"/>
      <c r="P96" s="29"/>
      <c r="Q96" s="29"/>
      <c r="R96" s="29"/>
      <c r="S96" s="29"/>
    </row>
    <row r="97">
      <c r="A97" s="27"/>
      <c r="B97" s="27"/>
      <c r="C97" s="27"/>
      <c r="D97" s="46"/>
      <c r="E97" s="49">
        <v>180.0</v>
      </c>
      <c r="F97" s="34">
        <f t="shared" ref="F97:M97" si="30">$G48*F57</f>
        <v>5599226.41</v>
      </c>
      <c r="G97" s="34">
        <f t="shared" si="30"/>
        <v>5867588.113</v>
      </c>
      <c r="H97" s="34">
        <f t="shared" si="30"/>
        <v>5644987.744</v>
      </c>
      <c r="I97" s="34">
        <f t="shared" si="30"/>
        <v>5333908.585</v>
      </c>
      <c r="J97" s="34">
        <f t="shared" si="30"/>
        <v>5051602.32</v>
      </c>
      <c r="K97" s="34">
        <f t="shared" si="30"/>
        <v>4121599.328</v>
      </c>
      <c r="L97" s="34">
        <f t="shared" si="30"/>
        <v>4356197.103</v>
      </c>
      <c r="M97" s="34">
        <f t="shared" si="30"/>
        <v>4017854.479</v>
      </c>
      <c r="N97" s="29"/>
      <c r="O97" s="29"/>
      <c r="P97" s="29"/>
      <c r="Q97" s="29"/>
      <c r="R97" s="29"/>
      <c r="S97" s="29"/>
    </row>
    <row r="98">
      <c r="A98" s="27"/>
      <c r="B98" s="27"/>
      <c r="C98" s="27"/>
      <c r="D98" s="46"/>
      <c r="E98" s="32">
        <v>110.0</v>
      </c>
      <c r="F98" s="34">
        <f t="shared" ref="F98:M98" si="31">$G49*F58</f>
        <v>3743079.448</v>
      </c>
      <c r="G98" s="34">
        <f t="shared" si="31"/>
        <v>3285655.619</v>
      </c>
      <c r="H98" s="34">
        <f t="shared" si="31"/>
        <v>3900978.316</v>
      </c>
      <c r="I98" s="34">
        <f t="shared" si="31"/>
        <v>4120880.184</v>
      </c>
      <c r="J98" s="34">
        <f t="shared" si="31"/>
        <v>4313155.631</v>
      </c>
      <c r="K98" s="34">
        <f t="shared" si="31"/>
        <v>4216067.322</v>
      </c>
      <c r="L98" s="34">
        <f t="shared" si="31"/>
        <v>4593386.981</v>
      </c>
      <c r="M98" s="34">
        <f t="shared" si="31"/>
        <v>4412303.254</v>
      </c>
      <c r="N98" s="29"/>
      <c r="O98" s="29"/>
      <c r="P98" s="29"/>
      <c r="Q98" s="29"/>
      <c r="R98" s="29"/>
      <c r="S98" s="29"/>
    </row>
    <row r="99">
      <c r="A99" s="27"/>
      <c r="B99" s="27"/>
      <c r="C99" s="27"/>
      <c r="D99" s="46"/>
      <c r="E99" s="49">
        <v>170.0</v>
      </c>
      <c r="F99" s="34">
        <f t="shared" ref="F99:M99" si="32">$G50*F59</f>
        <v>11234501.07</v>
      </c>
      <c r="G99" s="34">
        <f t="shared" si="32"/>
        <v>10117464.4</v>
      </c>
      <c r="H99" s="34">
        <f t="shared" si="32"/>
        <v>11626492.77</v>
      </c>
      <c r="I99" s="34">
        <f t="shared" si="32"/>
        <v>10769955.92</v>
      </c>
      <c r="J99" s="34">
        <f t="shared" si="32"/>
        <v>10328486.03</v>
      </c>
      <c r="K99" s="34">
        <f t="shared" si="32"/>
        <v>9893745.826</v>
      </c>
      <c r="L99" s="34">
        <f t="shared" si="32"/>
        <v>9489680.38</v>
      </c>
      <c r="M99" s="34">
        <f t="shared" si="32"/>
        <v>9271687.661</v>
      </c>
      <c r="N99" s="29"/>
      <c r="O99" s="29"/>
      <c r="P99" s="29"/>
      <c r="Q99" s="29"/>
      <c r="R99" s="29"/>
      <c r="S99" s="29"/>
    </row>
    <row r="100">
      <c r="A100" s="27"/>
      <c r="B100" s="27"/>
      <c r="C100" s="27"/>
      <c r="D100" s="46"/>
      <c r="E100" s="32">
        <v>110.0</v>
      </c>
      <c r="F100" s="34">
        <f t="shared" ref="F100:M100" si="33">$G51*F60</f>
        <v>6227918.209</v>
      </c>
      <c r="G100" s="34">
        <f t="shared" si="33"/>
        <v>6376186.475</v>
      </c>
      <c r="H100" s="34">
        <f t="shared" si="33"/>
        <v>6719054.347</v>
      </c>
      <c r="I100" s="34">
        <f t="shared" si="33"/>
        <v>6046857.126</v>
      </c>
      <c r="J100" s="34">
        <f t="shared" si="33"/>
        <v>5560204.684</v>
      </c>
      <c r="K100" s="34">
        <f t="shared" si="33"/>
        <v>4856707.479</v>
      </c>
      <c r="L100" s="34">
        <f t="shared" si="33"/>
        <v>4380950.346</v>
      </c>
      <c r="M100" s="34">
        <f t="shared" si="33"/>
        <v>4247150.604</v>
      </c>
      <c r="N100" s="29"/>
      <c r="O100" s="29"/>
      <c r="P100" s="29"/>
      <c r="Q100" s="29"/>
      <c r="R100" s="29"/>
      <c r="S100" s="29"/>
    </row>
    <row r="101">
      <c r="A101" s="27"/>
      <c r="B101" s="27"/>
      <c r="C101" s="27"/>
      <c r="D101" s="46"/>
      <c r="E101" s="49">
        <v>180.0</v>
      </c>
      <c r="F101" s="34">
        <f t="shared" ref="F101:M101" si="34">$G52*F61</f>
        <v>16779389.42</v>
      </c>
      <c r="G101" s="34">
        <f t="shared" si="34"/>
        <v>16088743.64</v>
      </c>
      <c r="H101" s="34">
        <f t="shared" si="34"/>
        <v>16569296.12</v>
      </c>
      <c r="I101" s="34">
        <f t="shared" si="34"/>
        <v>15631101.76</v>
      </c>
      <c r="J101" s="34">
        <f t="shared" si="34"/>
        <v>15015176.85</v>
      </c>
      <c r="K101" s="34">
        <f t="shared" si="34"/>
        <v>15338930.35</v>
      </c>
      <c r="L101" s="34">
        <f t="shared" si="34"/>
        <v>13470331.26</v>
      </c>
      <c r="M101" s="34">
        <f t="shared" si="34"/>
        <v>12801678.18</v>
      </c>
      <c r="N101" s="29"/>
      <c r="O101" s="29"/>
      <c r="P101" s="29"/>
      <c r="Q101" s="29"/>
      <c r="R101" s="29"/>
      <c r="S101" s="29"/>
    </row>
    <row r="102">
      <c r="A102" s="27"/>
      <c r="B102" s="27"/>
      <c r="C102" s="27"/>
      <c r="D102" s="46"/>
      <c r="E102" s="49">
        <v>220.0</v>
      </c>
      <c r="F102" s="34">
        <f t="shared" ref="F102:M102" si="35">$G53*F62</f>
        <v>17396664.16</v>
      </c>
      <c r="G102" s="34">
        <f t="shared" si="35"/>
        <v>17766155.13</v>
      </c>
      <c r="H102" s="34">
        <f t="shared" si="35"/>
        <v>17712820.97</v>
      </c>
      <c r="I102" s="34">
        <f t="shared" si="35"/>
        <v>17665112.25</v>
      </c>
      <c r="J102" s="34">
        <f t="shared" si="35"/>
        <v>18155857.58</v>
      </c>
      <c r="K102" s="34">
        <f t="shared" si="35"/>
        <v>18241524.65</v>
      </c>
      <c r="L102" s="34">
        <f t="shared" si="35"/>
        <v>18264571.07</v>
      </c>
      <c r="M102" s="34">
        <f t="shared" si="35"/>
        <v>18310017.17</v>
      </c>
      <c r="N102" s="29"/>
      <c r="O102" s="29"/>
      <c r="P102" s="29"/>
      <c r="Q102" s="29"/>
      <c r="R102" s="29"/>
      <c r="S102" s="29"/>
    </row>
    <row r="103">
      <c r="A103" s="27"/>
      <c r="B103" s="27"/>
      <c r="C103" s="27"/>
      <c r="D103" s="27"/>
      <c r="E103" s="28"/>
      <c r="F103" s="34">
        <f t="shared" ref="F103:M103" si="36">SUM(F97:F102)</f>
        <v>60980778.72</v>
      </c>
      <c r="G103" s="34">
        <f t="shared" si="36"/>
        <v>59501793.38</v>
      </c>
      <c r="H103" s="34">
        <f t="shared" si="36"/>
        <v>62173630.28</v>
      </c>
      <c r="I103" s="34">
        <f t="shared" si="36"/>
        <v>59567815.82</v>
      </c>
      <c r="J103" s="34">
        <f t="shared" si="36"/>
        <v>58424483.1</v>
      </c>
      <c r="K103" s="34">
        <f t="shared" si="36"/>
        <v>56668574.96</v>
      </c>
      <c r="L103" s="34">
        <f t="shared" si="36"/>
        <v>54555117.14</v>
      </c>
      <c r="M103" s="34">
        <f t="shared" si="36"/>
        <v>53060691.34</v>
      </c>
      <c r="N103" s="29"/>
      <c r="O103" s="29"/>
      <c r="P103" s="29"/>
      <c r="Q103" s="29"/>
      <c r="R103" s="29"/>
      <c r="S103" s="29"/>
    </row>
    <row r="104">
      <c r="A104" s="27"/>
      <c r="B104" s="27"/>
      <c r="C104" s="27"/>
      <c r="D104" s="27"/>
      <c r="E104" s="28"/>
      <c r="F104" s="28"/>
      <c r="G104" s="29"/>
      <c r="H104" s="28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</row>
    <row r="105">
      <c r="A105" s="27"/>
      <c r="B105" s="27"/>
      <c r="C105" s="27"/>
      <c r="D105" s="27"/>
      <c r="E105" s="28"/>
      <c r="F105" s="28"/>
      <c r="G105" s="29"/>
      <c r="H105" s="28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</row>
  </sheetData>
  <autoFilter ref="$A$1:$H$20">
    <sortState ref="A1:H20">
      <sortCondition ref="A1:A20"/>
      <sortCondition ref="D1:D20"/>
    </sortState>
  </autoFil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3" max="3" width="20.43"/>
  </cols>
  <sheetData>
    <row r="1">
      <c r="A1" s="2" t="s">
        <v>70</v>
      </c>
      <c r="B1" s="2" t="s">
        <v>94</v>
      </c>
      <c r="C1" s="56" t="s">
        <v>95</v>
      </c>
      <c r="D1" s="57" t="s">
        <v>15</v>
      </c>
      <c r="E1" s="57" t="s">
        <v>16</v>
      </c>
      <c r="F1" s="57" t="s">
        <v>17</v>
      </c>
      <c r="G1" s="57" t="s">
        <v>18</v>
      </c>
      <c r="H1" s="57" t="s">
        <v>19</v>
      </c>
      <c r="I1" s="57" t="s">
        <v>20</v>
      </c>
      <c r="J1" s="57" t="s">
        <v>21</v>
      </c>
      <c r="K1" s="57" t="s">
        <v>22</v>
      </c>
    </row>
    <row r="2">
      <c r="A2" s="58" t="s">
        <v>75</v>
      </c>
      <c r="B2" s="58" t="s">
        <v>76</v>
      </c>
      <c r="C2" s="59">
        <v>5.0E7</v>
      </c>
      <c r="D2" s="60">
        <v>45.811313726173104</v>
      </c>
      <c r="E2" s="60">
        <v>47.94833188628169</v>
      </c>
      <c r="F2" s="60">
        <v>46.283021333624916</v>
      </c>
      <c r="G2" s="60">
        <v>48.15341334348682</v>
      </c>
      <c r="H2" s="60">
        <v>50.87554372438516</v>
      </c>
      <c r="I2" s="60">
        <v>46.99031795107844</v>
      </c>
      <c r="J2" s="60">
        <v>40.08523462329755</v>
      </c>
      <c r="K2" s="60">
        <v>49.02376352129466</v>
      </c>
    </row>
    <row r="3">
      <c r="A3" s="61" t="s">
        <v>79</v>
      </c>
      <c r="B3" s="61" t="s">
        <v>78</v>
      </c>
      <c r="C3" s="62">
        <v>3975.0</v>
      </c>
      <c r="D3" s="63">
        <v>7.437617297545579E7</v>
      </c>
      <c r="E3" s="63">
        <v>8.201223787539047E7</v>
      </c>
      <c r="F3" s="63">
        <v>7.14455083936551E7</v>
      </c>
      <c r="G3" s="63">
        <v>6.6811539792222634E7</v>
      </c>
      <c r="H3" s="63">
        <v>8.181899828327484E7</v>
      </c>
      <c r="I3" s="63">
        <v>7.983882325924015E7</v>
      </c>
      <c r="J3" s="63">
        <v>7.372876527602285E7</v>
      </c>
      <c r="K3" s="63">
        <v>7.399583692083293E7</v>
      </c>
    </row>
    <row r="4">
      <c r="A4" s="58" t="s">
        <v>80</v>
      </c>
      <c r="B4" s="58" t="s">
        <v>76</v>
      </c>
      <c r="C4" s="59">
        <v>6.0E7</v>
      </c>
      <c r="D4" s="60">
        <v>4.176666353925636</v>
      </c>
      <c r="E4" s="60">
        <v>4.642034125026751</v>
      </c>
      <c r="F4" s="60">
        <v>4.501007138787574</v>
      </c>
      <c r="G4" s="60">
        <v>3.932351110584951</v>
      </c>
      <c r="H4" s="60">
        <v>5.494950393294106</v>
      </c>
      <c r="I4" s="60">
        <v>4.496933200432377</v>
      </c>
      <c r="J4" s="60">
        <v>4.029194857278434</v>
      </c>
      <c r="K4" s="60">
        <v>4.777313649631706</v>
      </c>
    </row>
    <row r="5">
      <c r="A5" s="61" t="s">
        <v>77</v>
      </c>
      <c r="B5" s="61" t="s">
        <v>78</v>
      </c>
      <c r="C5" s="62">
        <v>6000.0</v>
      </c>
      <c r="D5" s="63">
        <v>9.61987458534438E7</v>
      </c>
      <c r="E5" s="63">
        <v>1.0238938393340707E8</v>
      </c>
      <c r="F5" s="63">
        <v>1.0763356872269379E8</v>
      </c>
      <c r="G5" s="63">
        <v>9.784514018058269E7</v>
      </c>
      <c r="H5" s="63">
        <v>8.984578709059721E7</v>
      </c>
      <c r="I5" s="63">
        <v>9.495744470243248E7</v>
      </c>
      <c r="J5" s="63">
        <v>1.0549207940025312E8</v>
      </c>
      <c r="K5" s="63">
        <v>1.0410914981462678E8</v>
      </c>
    </row>
    <row r="6">
      <c r="A6" s="64" t="s">
        <v>96</v>
      </c>
      <c r="B6" s="58"/>
      <c r="C6" s="65"/>
      <c r="D6" s="66"/>
      <c r="E6" s="67">
        <f t="shared" ref="E6:K6" si="1">(C45+D45)/2</f>
        <v>909194908081</v>
      </c>
      <c r="F6" s="67">
        <f t="shared" si="1"/>
        <v>937696203746</v>
      </c>
      <c r="G6" s="67">
        <f t="shared" si="1"/>
        <v>893835921594</v>
      </c>
      <c r="H6" s="67">
        <f t="shared" si="1"/>
        <v>861234519210</v>
      </c>
      <c r="I6" s="67">
        <f t="shared" si="1"/>
        <v>878451018745</v>
      </c>
      <c r="J6" s="67">
        <f t="shared" si="1"/>
        <v>908996827178</v>
      </c>
      <c r="K6" s="67">
        <f t="shared" si="1"/>
        <v>924898254720</v>
      </c>
    </row>
    <row r="7">
      <c r="A7" s="61" t="s">
        <v>8</v>
      </c>
      <c r="B7" s="61"/>
      <c r="C7" s="68"/>
      <c r="D7" s="69">
        <v>6.666487137E11</v>
      </c>
      <c r="E7" s="69">
        <v>6.506914801E11</v>
      </c>
      <c r="F7" s="69">
        <v>6.795968433E11</v>
      </c>
      <c r="G7" s="69">
        <v>6.516914209E11</v>
      </c>
      <c r="H7" s="69">
        <v>6.394981975E11</v>
      </c>
      <c r="I7" s="69">
        <v>6.199617831E11</v>
      </c>
      <c r="J7" s="69">
        <v>5.976622087E11</v>
      </c>
      <c r="K7" s="69">
        <v>5.810526133E11</v>
      </c>
    </row>
    <row r="8">
      <c r="A8" s="70" t="s">
        <v>97</v>
      </c>
      <c r="B8" s="71"/>
      <c r="C8" s="72"/>
      <c r="D8" s="73" t="str">
        <f t="shared" ref="D8:K8" si="2">D7/D6</f>
        <v>#DIV/0!</v>
      </c>
      <c r="E8" s="74">
        <f t="shared" si="2"/>
        <v>0.7156787553</v>
      </c>
      <c r="F8" s="74">
        <f t="shared" si="2"/>
        <v>0.7247516206</v>
      </c>
      <c r="G8" s="74">
        <f t="shared" si="2"/>
        <v>0.7290951339</v>
      </c>
      <c r="H8" s="74">
        <f t="shared" si="2"/>
        <v>0.7425366532</v>
      </c>
      <c r="I8" s="74">
        <f t="shared" si="2"/>
        <v>0.7057442815</v>
      </c>
      <c r="J8" s="74">
        <f t="shared" si="2"/>
        <v>0.6574964739</v>
      </c>
      <c r="K8" s="74">
        <f t="shared" si="2"/>
        <v>0.6282340899</v>
      </c>
    </row>
    <row r="9">
      <c r="A9" s="71"/>
      <c r="B9" s="71"/>
      <c r="C9" s="72"/>
      <c r="D9" s="75"/>
      <c r="E9" s="75"/>
      <c r="F9" s="75"/>
      <c r="G9" s="75"/>
      <c r="H9" s="75"/>
      <c r="I9" s="75"/>
      <c r="J9" s="75"/>
      <c r="K9" s="75"/>
    </row>
    <row r="10">
      <c r="A10" s="58" t="s">
        <v>75</v>
      </c>
      <c r="B10" s="28"/>
      <c r="C10" s="29"/>
      <c r="D10" s="76">
        <v>30.085899589223366</v>
      </c>
      <c r="E10" s="76">
        <v>29.284696920650607</v>
      </c>
      <c r="F10" s="76">
        <v>30.58822032993495</v>
      </c>
      <c r="G10" s="76">
        <v>29.4304597753691</v>
      </c>
      <c r="H10" s="76">
        <v>28.99927344990246</v>
      </c>
      <c r="I10" s="76">
        <v>28.311732860767762</v>
      </c>
      <c r="J10" s="76">
        <v>27.35552663361132</v>
      </c>
      <c r="K10" s="76">
        <v>26.645818347205854</v>
      </c>
    </row>
    <row r="11">
      <c r="A11" s="28" t="s">
        <v>79</v>
      </c>
      <c r="B11" s="28"/>
      <c r="C11" s="29"/>
      <c r="D11" s="35">
        <v>6.0980778718483746E7</v>
      </c>
      <c r="E11" s="35">
        <v>5.950179337552416E7</v>
      </c>
      <c r="F11" s="35">
        <v>6.217363027624223E7</v>
      </c>
      <c r="G11" s="35">
        <v>5.956781582297358E7</v>
      </c>
      <c r="H11" s="35">
        <v>5.842448310194337E7</v>
      </c>
      <c r="I11" s="35">
        <v>5.6668574957525656E7</v>
      </c>
      <c r="J11" s="35">
        <v>5.455511713774003E7</v>
      </c>
      <c r="K11" s="35">
        <v>5.306069134366863E7</v>
      </c>
    </row>
    <row r="12">
      <c r="A12" s="58" t="s">
        <v>80</v>
      </c>
      <c r="B12" s="28"/>
      <c r="C12" s="29"/>
      <c r="D12" s="76">
        <v>2.9469612682192707</v>
      </c>
      <c r="E12" s="76">
        <v>3.0882042697826493</v>
      </c>
      <c r="F12" s="76">
        <v>2.971046180914925</v>
      </c>
      <c r="G12" s="76">
        <v>2.807320307655527</v>
      </c>
      <c r="H12" s="76">
        <v>2.6587380634121445</v>
      </c>
      <c r="I12" s="76">
        <v>2.1692628040204207</v>
      </c>
      <c r="J12" s="76">
        <v>2.292735317585681</v>
      </c>
      <c r="K12" s="76">
        <v>2.114660251862975</v>
      </c>
    </row>
    <row r="13">
      <c r="A13" s="77" t="s">
        <v>77</v>
      </c>
      <c r="B13" s="28"/>
      <c r="C13" s="29"/>
      <c r="D13" s="35">
        <v>5548393.369927947</v>
      </c>
      <c r="E13" s="35">
        <v>5450635.551899679</v>
      </c>
      <c r="F13" s="35">
        <v>5628692.2426206395</v>
      </c>
      <c r="G13" s="35">
        <v>5432361.719822109</v>
      </c>
      <c r="H13" s="35">
        <v>5375014.4159102505</v>
      </c>
      <c r="I13" s="35">
        <v>5270850.132298745</v>
      </c>
      <c r="J13" s="35">
        <v>5099054.081368879</v>
      </c>
      <c r="K13" s="35">
        <v>4983824.864737404</v>
      </c>
    </row>
    <row r="14">
      <c r="A14" s="28"/>
      <c r="B14" s="78"/>
      <c r="C14" s="79"/>
      <c r="D14" s="80"/>
      <c r="E14" s="80"/>
      <c r="F14" s="80"/>
      <c r="G14" s="80"/>
      <c r="H14" s="80"/>
      <c r="I14" s="80"/>
      <c r="J14" s="80"/>
      <c r="K14" s="36"/>
    </row>
    <row r="15">
      <c r="A15" s="28"/>
      <c r="B15" s="81" t="s">
        <v>98</v>
      </c>
      <c r="C15" s="82" t="s">
        <v>99</v>
      </c>
      <c r="D15" s="82" t="s">
        <v>100</v>
      </c>
      <c r="E15" s="82" t="s">
        <v>101</v>
      </c>
      <c r="F15" s="82" t="s">
        <v>102</v>
      </c>
      <c r="G15" s="82" t="s">
        <v>103</v>
      </c>
      <c r="H15" s="82" t="s">
        <v>104</v>
      </c>
      <c r="I15" s="82" t="s">
        <v>105</v>
      </c>
      <c r="J15" s="82" t="s">
        <v>106</v>
      </c>
      <c r="K15" s="83"/>
    </row>
    <row r="16">
      <c r="A16" s="58" t="s">
        <v>75</v>
      </c>
      <c r="B16" s="71" t="s">
        <v>98</v>
      </c>
      <c r="C16" s="84" t="s">
        <v>107</v>
      </c>
      <c r="D16" s="84" t="s">
        <v>108</v>
      </c>
      <c r="E16" s="84" t="s">
        <v>109</v>
      </c>
      <c r="F16" s="84" t="s">
        <v>110</v>
      </c>
      <c r="G16" s="84" t="s">
        <v>111</v>
      </c>
      <c r="H16" s="84" t="s">
        <v>112</v>
      </c>
      <c r="I16" s="84" t="s">
        <v>113</v>
      </c>
      <c r="J16" s="84" t="s">
        <v>114</v>
      </c>
      <c r="K16" s="83"/>
    </row>
    <row r="17">
      <c r="A17" s="28"/>
      <c r="B17" s="58" t="s">
        <v>115</v>
      </c>
      <c r="C17" s="60">
        <v>30.085899589223366</v>
      </c>
      <c r="D17" s="60">
        <v>29.284696920650607</v>
      </c>
      <c r="E17" s="60">
        <v>30.58822032993495</v>
      </c>
      <c r="F17" s="60">
        <v>29.4304597753691</v>
      </c>
      <c r="G17" s="60">
        <v>28.99927344990246</v>
      </c>
      <c r="H17" s="60">
        <v>28.311732860767762</v>
      </c>
      <c r="I17" s="60">
        <v>27.35552663361132</v>
      </c>
      <c r="J17" s="60">
        <v>26.645818347205854</v>
      </c>
      <c r="K17" s="83"/>
    </row>
    <row r="18">
      <c r="A18" s="28"/>
      <c r="B18" s="61" t="s">
        <v>116</v>
      </c>
      <c r="C18" s="68"/>
      <c r="D18" s="85">
        <f t="shared" ref="D18:J18" si="3">D19-(C19-D17)</f>
        <v>31.42171508</v>
      </c>
      <c r="E18" s="85">
        <f t="shared" si="3"/>
        <v>28.92290978</v>
      </c>
      <c r="F18" s="85">
        <f t="shared" si="3"/>
        <v>31.30085179</v>
      </c>
      <c r="G18" s="85">
        <f t="shared" si="3"/>
        <v>31.72140383</v>
      </c>
      <c r="H18" s="85">
        <f t="shared" si="3"/>
        <v>24.42650709</v>
      </c>
      <c r="I18" s="85">
        <f t="shared" si="3"/>
        <v>20.45044331</v>
      </c>
      <c r="J18" s="85">
        <f t="shared" si="3"/>
        <v>35.58434725</v>
      </c>
      <c r="K18" s="83"/>
    </row>
    <row r="19">
      <c r="A19" s="28"/>
      <c r="B19" s="58" t="s">
        <v>117</v>
      </c>
      <c r="C19" s="60">
        <v>45.811313726173104</v>
      </c>
      <c r="D19" s="60">
        <v>47.94833188628169</v>
      </c>
      <c r="E19" s="60">
        <v>46.283021333624916</v>
      </c>
      <c r="F19" s="60">
        <v>48.15341334348682</v>
      </c>
      <c r="G19" s="60">
        <v>50.87554372438516</v>
      </c>
      <c r="H19" s="60">
        <v>46.99031795107844</v>
      </c>
      <c r="I19" s="60">
        <v>40.08523462329755</v>
      </c>
      <c r="J19" s="60">
        <v>49.02376352129466</v>
      </c>
      <c r="K19" s="83"/>
    </row>
    <row r="20">
      <c r="A20" s="28"/>
      <c r="B20" s="61" t="s">
        <v>118</v>
      </c>
      <c r="C20" s="86"/>
      <c r="D20" s="87">
        <f t="shared" ref="D20:J20" si="4">D18*$C$2</f>
        <v>1571085754</v>
      </c>
      <c r="E20" s="87">
        <f t="shared" si="4"/>
        <v>1446145489</v>
      </c>
      <c r="F20" s="87">
        <f t="shared" si="4"/>
        <v>1565042589</v>
      </c>
      <c r="G20" s="87">
        <f t="shared" si="4"/>
        <v>1586070192</v>
      </c>
      <c r="H20" s="87">
        <f t="shared" si="4"/>
        <v>1221325354</v>
      </c>
      <c r="I20" s="87">
        <f t="shared" si="4"/>
        <v>1022522165</v>
      </c>
      <c r="J20" s="87">
        <f t="shared" si="4"/>
        <v>1779217362</v>
      </c>
      <c r="K20" s="83"/>
    </row>
    <row r="21">
      <c r="A21" s="28"/>
      <c r="B21" s="58" t="s">
        <v>119</v>
      </c>
      <c r="C21" s="67">
        <f t="shared" ref="C21:J21" si="5">C19*$C$2</f>
        <v>2290565686</v>
      </c>
      <c r="D21" s="67">
        <f t="shared" si="5"/>
        <v>2397416594</v>
      </c>
      <c r="E21" s="67">
        <f t="shared" si="5"/>
        <v>2314151067</v>
      </c>
      <c r="F21" s="67">
        <f t="shared" si="5"/>
        <v>2407670667</v>
      </c>
      <c r="G21" s="67">
        <f t="shared" si="5"/>
        <v>2543777186</v>
      </c>
      <c r="H21" s="67">
        <f t="shared" si="5"/>
        <v>2349515898</v>
      </c>
      <c r="I21" s="67">
        <f t="shared" si="5"/>
        <v>2004261731</v>
      </c>
      <c r="J21" s="67">
        <f t="shared" si="5"/>
        <v>2451188176</v>
      </c>
      <c r="K21" s="83"/>
    </row>
    <row r="22">
      <c r="A22" s="28"/>
      <c r="B22" s="78"/>
      <c r="C22" s="79"/>
      <c r="D22" s="88"/>
      <c r="E22" s="88"/>
      <c r="F22" s="88"/>
      <c r="G22" s="88"/>
      <c r="H22" s="88"/>
      <c r="I22" s="88"/>
      <c r="J22" s="88"/>
      <c r="K22" s="83"/>
    </row>
    <row r="23">
      <c r="A23" s="58" t="s">
        <v>79</v>
      </c>
      <c r="B23" s="71" t="s">
        <v>98</v>
      </c>
      <c r="C23" s="89" t="s">
        <v>107</v>
      </c>
      <c r="D23" s="89" t="s">
        <v>108</v>
      </c>
      <c r="E23" s="89" t="s">
        <v>109</v>
      </c>
      <c r="F23" s="89" t="s">
        <v>110</v>
      </c>
      <c r="G23" s="89" t="s">
        <v>111</v>
      </c>
      <c r="H23" s="89" t="s">
        <v>112</v>
      </c>
      <c r="I23" s="89" t="s">
        <v>113</v>
      </c>
      <c r="J23" s="89" t="s">
        <v>114</v>
      </c>
      <c r="K23" s="83"/>
    </row>
    <row r="24">
      <c r="A24" s="28"/>
      <c r="B24" s="58" t="s">
        <v>115</v>
      </c>
      <c r="C24" s="90">
        <v>6.0980778718483746E7</v>
      </c>
      <c r="D24" s="90">
        <v>5.950179337552416E7</v>
      </c>
      <c r="E24" s="90">
        <v>6.217363027624223E7</v>
      </c>
      <c r="F24" s="90">
        <v>5.956781582297358E7</v>
      </c>
      <c r="G24" s="90">
        <v>5.842448310194337E7</v>
      </c>
      <c r="H24" s="90">
        <v>5.6668574957525656E7</v>
      </c>
      <c r="I24" s="90">
        <v>5.455511713774003E7</v>
      </c>
      <c r="J24" s="90">
        <v>5.306069134366863E7</v>
      </c>
      <c r="K24" s="83"/>
    </row>
    <row r="25">
      <c r="A25" s="28"/>
      <c r="B25" s="61" t="s">
        <v>116</v>
      </c>
      <c r="C25" s="68"/>
      <c r="D25" s="87">
        <f t="shared" ref="D25:J25" si="6">D26-(C26-D24)</f>
        <v>67137858.28</v>
      </c>
      <c r="E25" s="87">
        <f t="shared" si="6"/>
        <v>51606900.79</v>
      </c>
      <c r="F25" s="87">
        <f t="shared" si="6"/>
        <v>54933847.22</v>
      </c>
      <c r="G25" s="87">
        <f t="shared" si="6"/>
        <v>73431941.59</v>
      </c>
      <c r="H25" s="87">
        <f t="shared" si="6"/>
        <v>54688399.93</v>
      </c>
      <c r="I25" s="87">
        <f t="shared" si="6"/>
        <v>48445059.15</v>
      </c>
      <c r="J25" s="87">
        <f t="shared" si="6"/>
        <v>53327762.99</v>
      </c>
      <c r="K25" s="83"/>
    </row>
    <row r="26">
      <c r="A26" s="28"/>
      <c r="B26" s="58" t="s">
        <v>117</v>
      </c>
      <c r="C26" s="90">
        <v>7.437617297545579E7</v>
      </c>
      <c r="D26" s="90">
        <v>8.201223787539047E7</v>
      </c>
      <c r="E26" s="90">
        <v>7.14455083936551E7</v>
      </c>
      <c r="F26" s="90">
        <v>6.6811539792222634E7</v>
      </c>
      <c r="G26" s="90">
        <v>8.181899828327484E7</v>
      </c>
      <c r="H26" s="90">
        <v>7.983882325924015E7</v>
      </c>
      <c r="I26" s="90">
        <v>7.372876527602285E7</v>
      </c>
      <c r="J26" s="90">
        <v>7.399583692083293E7</v>
      </c>
      <c r="K26" s="83"/>
    </row>
    <row r="27">
      <c r="A27" s="28"/>
      <c r="B27" s="61" t="s">
        <v>118</v>
      </c>
      <c r="C27" s="91"/>
      <c r="D27" s="87">
        <f t="shared" ref="D27:J27" si="7">D25*$C$3</f>
        <v>266872986645</v>
      </c>
      <c r="E27" s="87">
        <f t="shared" si="7"/>
        <v>205137430658</v>
      </c>
      <c r="F27" s="87">
        <f t="shared" si="7"/>
        <v>218362042706</v>
      </c>
      <c r="G27" s="87">
        <f t="shared" si="7"/>
        <v>291891967832</v>
      </c>
      <c r="H27" s="87">
        <f t="shared" si="7"/>
        <v>217386389736</v>
      </c>
      <c r="I27" s="87">
        <f t="shared" si="7"/>
        <v>192569110139</v>
      </c>
      <c r="J27" s="87">
        <f t="shared" si="7"/>
        <v>211977857879</v>
      </c>
      <c r="K27" s="83"/>
    </row>
    <row r="28">
      <c r="A28" s="28"/>
      <c r="B28" s="58" t="s">
        <v>119</v>
      </c>
      <c r="C28" s="92">
        <f t="shared" ref="C28:J28" si="8">C26*$C$3</f>
        <v>295645287577</v>
      </c>
      <c r="D28" s="92">
        <f t="shared" si="8"/>
        <v>325998645555</v>
      </c>
      <c r="E28" s="92">
        <f t="shared" si="8"/>
        <v>283995895865</v>
      </c>
      <c r="F28" s="92">
        <f t="shared" si="8"/>
        <v>265575870674</v>
      </c>
      <c r="G28" s="92">
        <f t="shared" si="8"/>
        <v>325230518176</v>
      </c>
      <c r="H28" s="92">
        <f t="shared" si="8"/>
        <v>317359322455</v>
      </c>
      <c r="I28" s="92">
        <f t="shared" si="8"/>
        <v>293071841972</v>
      </c>
      <c r="J28" s="92">
        <f t="shared" si="8"/>
        <v>294133451760</v>
      </c>
      <c r="K28" s="83"/>
    </row>
    <row r="29">
      <c r="A29" s="28"/>
      <c r="B29" s="78"/>
      <c r="C29" s="79"/>
      <c r="D29" s="88"/>
      <c r="E29" s="88"/>
      <c r="F29" s="88"/>
      <c r="G29" s="88"/>
      <c r="H29" s="88"/>
      <c r="I29" s="88"/>
      <c r="J29" s="88"/>
      <c r="K29" s="83"/>
    </row>
    <row r="30">
      <c r="A30" s="58" t="s">
        <v>80</v>
      </c>
      <c r="B30" s="71" t="s">
        <v>98</v>
      </c>
      <c r="C30" s="89" t="s">
        <v>107</v>
      </c>
      <c r="D30" s="89" t="s">
        <v>108</v>
      </c>
      <c r="E30" s="89" t="s">
        <v>109</v>
      </c>
      <c r="F30" s="89" t="s">
        <v>110</v>
      </c>
      <c r="G30" s="89" t="s">
        <v>111</v>
      </c>
      <c r="H30" s="89" t="s">
        <v>112</v>
      </c>
      <c r="I30" s="89" t="s">
        <v>113</v>
      </c>
      <c r="J30" s="89" t="s">
        <v>114</v>
      </c>
      <c r="K30" s="83"/>
    </row>
    <row r="31">
      <c r="A31" s="28"/>
      <c r="B31" s="58" t="s">
        <v>115</v>
      </c>
      <c r="C31" s="60">
        <v>2.9469612682192707</v>
      </c>
      <c r="D31" s="60">
        <v>3.0882042697826493</v>
      </c>
      <c r="E31" s="60">
        <v>2.971046180914925</v>
      </c>
      <c r="F31" s="60">
        <v>2.807320307655527</v>
      </c>
      <c r="G31" s="60">
        <v>2.6587380634121445</v>
      </c>
      <c r="H31" s="60">
        <v>2.1692628040204207</v>
      </c>
      <c r="I31" s="60">
        <v>2.292735317585681</v>
      </c>
      <c r="J31" s="60">
        <v>2.114660251862975</v>
      </c>
      <c r="K31" s="83"/>
    </row>
    <row r="32">
      <c r="A32" s="28"/>
      <c r="B32" s="61" t="s">
        <v>116</v>
      </c>
      <c r="C32" s="68"/>
      <c r="D32" s="85">
        <f t="shared" ref="D32:J32" si="9">D33-(C33-D31)</f>
        <v>3.553572041</v>
      </c>
      <c r="E32" s="85">
        <f t="shared" si="9"/>
        <v>2.830019195</v>
      </c>
      <c r="F32" s="85">
        <f t="shared" si="9"/>
        <v>2.238664279</v>
      </c>
      <c r="G32" s="85">
        <f t="shared" si="9"/>
        <v>4.221337346</v>
      </c>
      <c r="H32" s="85">
        <f t="shared" si="9"/>
        <v>1.171245611</v>
      </c>
      <c r="I32" s="85">
        <f t="shared" si="9"/>
        <v>1.824996974</v>
      </c>
      <c r="J32" s="85">
        <f t="shared" si="9"/>
        <v>2.862779044</v>
      </c>
      <c r="K32" s="83"/>
    </row>
    <row r="33">
      <c r="A33" s="28"/>
      <c r="B33" s="58" t="s">
        <v>117</v>
      </c>
      <c r="C33" s="60">
        <v>4.176666353925636</v>
      </c>
      <c r="D33" s="60">
        <v>4.642034125026751</v>
      </c>
      <c r="E33" s="60">
        <v>4.501007138787574</v>
      </c>
      <c r="F33" s="60">
        <v>3.932351110584951</v>
      </c>
      <c r="G33" s="60">
        <v>5.494950393294106</v>
      </c>
      <c r="H33" s="60">
        <v>4.496933200432377</v>
      </c>
      <c r="I33" s="60">
        <v>4.029194857278434</v>
      </c>
      <c r="J33" s="60">
        <v>4.777313649631706</v>
      </c>
      <c r="K33" s="83"/>
    </row>
    <row r="34">
      <c r="A34" s="28"/>
      <c r="B34" s="61" t="s">
        <v>118</v>
      </c>
      <c r="C34" s="86"/>
      <c r="D34" s="87">
        <f t="shared" ref="D34:J34" si="10">D32*$C$4</f>
        <v>213214322.5</v>
      </c>
      <c r="E34" s="87">
        <f t="shared" si="10"/>
        <v>169801151.7</v>
      </c>
      <c r="F34" s="87">
        <f t="shared" si="10"/>
        <v>134319856.8</v>
      </c>
      <c r="G34" s="87">
        <f t="shared" si="10"/>
        <v>253280240.8</v>
      </c>
      <c r="H34" s="87">
        <f t="shared" si="10"/>
        <v>70274736.67</v>
      </c>
      <c r="I34" s="87">
        <f t="shared" si="10"/>
        <v>109499818.5</v>
      </c>
      <c r="J34" s="87">
        <f t="shared" si="10"/>
        <v>171766742.7</v>
      </c>
      <c r="K34" s="83"/>
    </row>
    <row r="35">
      <c r="A35" s="28"/>
      <c r="B35" s="58" t="s">
        <v>119</v>
      </c>
      <c r="C35" s="67">
        <f t="shared" ref="C35:J35" si="11">C33*$C$4</f>
        <v>250599981.2</v>
      </c>
      <c r="D35" s="67">
        <f t="shared" si="11"/>
        <v>278522047.5</v>
      </c>
      <c r="E35" s="67">
        <f t="shared" si="11"/>
        <v>270060428.3</v>
      </c>
      <c r="F35" s="67">
        <f t="shared" si="11"/>
        <v>235941066.6</v>
      </c>
      <c r="G35" s="67">
        <f t="shared" si="11"/>
        <v>329697023.6</v>
      </c>
      <c r="H35" s="67">
        <f t="shared" si="11"/>
        <v>269815992</v>
      </c>
      <c r="I35" s="67">
        <f t="shared" si="11"/>
        <v>241751691.4</v>
      </c>
      <c r="J35" s="67">
        <f t="shared" si="11"/>
        <v>286638819</v>
      </c>
      <c r="K35" s="83"/>
    </row>
    <row r="36">
      <c r="A36" s="28"/>
      <c r="B36" s="78"/>
      <c r="C36" s="79"/>
      <c r="D36" s="88"/>
      <c r="E36" s="88"/>
      <c r="F36" s="88"/>
      <c r="G36" s="88"/>
      <c r="H36" s="88"/>
      <c r="I36" s="88"/>
      <c r="J36" s="88"/>
      <c r="K36" s="83"/>
    </row>
    <row r="37">
      <c r="A37" s="58" t="s">
        <v>77</v>
      </c>
      <c r="B37" s="71" t="s">
        <v>98</v>
      </c>
      <c r="C37" s="89" t="s">
        <v>107</v>
      </c>
      <c r="D37" s="89" t="s">
        <v>108</v>
      </c>
      <c r="E37" s="89" t="s">
        <v>109</v>
      </c>
      <c r="F37" s="89" t="s">
        <v>110</v>
      </c>
      <c r="G37" s="89" t="s">
        <v>111</v>
      </c>
      <c r="H37" s="89" t="s">
        <v>112</v>
      </c>
      <c r="I37" s="89" t="s">
        <v>113</v>
      </c>
      <c r="J37" s="89" t="s">
        <v>114</v>
      </c>
      <c r="K37" s="83"/>
    </row>
    <row r="38">
      <c r="A38" s="28"/>
      <c r="B38" s="58" t="s">
        <v>115</v>
      </c>
      <c r="C38" s="93">
        <v>6.0980778718483746E7</v>
      </c>
      <c r="D38" s="93">
        <v>5.950179337552416E7</v>
      </c>
      <c r="E38" s="93">
        <v>6.217363027624223E7</v>
      </c>
      <c r="F38" s="93">
        <v>5.956781582297358E7</v>
      </c>
      <c r="G38" s="93">
        <v>5.842448310194337E7</v>
      </c>
      <c r="H38" s="93">
        <v>5.6668574957525656E7</v>
      </c>
      <c r="I38" s="93">
        <v>5.455511713774003E7</v>
      </c>
      <c r="J38" s="93">
        <v>5.306069134366863E7</v>
      </c>
      <c r="K38" s="83"/>
    </row>
    <row r="39">
      <c r="A39" s="28"/>
      <c r="B39" s="61" t="s">
        <v>116</v>
      </c>
      <c r="C39" s="68"/>
      <c r="D39" s="85">
        <f t="shared" ref="D39:J39" si="12">D40-(C40-D38)</f>
        <v>65692431.46</v>
      </c>
      <c r="E39" s="85">
        <f t="shared" si="12"/>
        <v>67417815.07</v>
      </c>
      <c r="F39" s="85">
        <f t="shared" si="12"/>
        <v>49779387.28</v>
      </c>
      <c r="G39" s="85">
        <f t="shared" si="12"/>
        <v>50425130.01</v>
      </c>
      <c r="H39" s="85">
        <f t="shared" si="12"/>
        <v>61780232.57</v>
      </c>
      <c r="I39" s="85">
        <f t="shared" si="12"/>
        <v>65089751.84</v>
      </c>
      <c r="J39" s="85">
        <f t="shared" si="12"/>
        <v>51677761.76</v>
      </c>
      <c r="K39" s="83"/>
    </row>
    <row r="40">
      <c r="A40" s="28"/>
      <c r="B40" s="58" t="s">
        <v>117</v>
      </c>
      <c r="C40" s="90">
        <v>9.61987458534438E7</v>
      </c>
      <c r="D40" s="90">
        <v>1.0238938393340707E8</v>
      </c>
      <c r="E40" s="90">
        <v>1.0763356872269379E8</v>
      </c>
      <c r="F40" s="90">
        <v>9.784514018058269E7</v>
      </c>
      <c r="G40" s="90">
        <v>8.984578709059721E7</v>
      </c>
      <c r="H40" s="90">
        <v>9.495744470243248E7</v>
      </c>
      <c r="I40" s="90">
        <v>1.0549207940025312E8</v>
      </c>
      <c r="J40" s="90">
        <v>1.0410914981462678E8</v>
      </c>
      <c r="K40" s="83"/>
    </row>
    <row r="41">
      <c r="A41" s="28"/>
      <c r="B41" s="61" t="s">
        <v>118</v>
      </c>
      <c r="C41" s="86"/>
      <c r="D41" s="87">
        <f t="shared" ref="D41:J41" si="13">D39*$C$5</f>
        <v>394154588733</v>
      </c>
      <c r="E41" s="87">
        <f t="shared" si="13"/>
        <v>404506890393</v>
      </c>
      <c r="F41" s="87">
        <f t="shared" si="13"/>
        <v>298676323685</v>
      </c>
      <c r="G41" s="87">
        <f t="shared" si="13"/>
        <v>302550780072</v>
      </c>
      <c r="H41" s="87">
        <f t="shared" si="13"/>
        <v>370681395416</v>
      </c>
      <c r="I41" s="87">
        <f t="shared" si="13"/>
        <v>390538511013</v>
      </c>
      <c r="J41" s="87">
        <f t="shared" si="13"/>
        <v>310066570548</v>
      </c>
      <c r="K41" s="83"/>
    </row>
    <row r="42">
      <c r="A42" s="28"/>
      <c r="B42" s="58" t="s">
        <v>119</v>
      </c>
      <c r="C42" s="67">
        <f t="shared" ref="C42:J42" si="14">C40*$C$5</f>
        <v>577192475121</v>
      </c>
      <c r="D42" s="67">
        <f t="shared" si="14"/>
        <v>614336303600</v>
      </c>
      <c r="E42" s="67">
        <f t="shared" si="14"/>
        <v>645801412336</v>
      </c>
      <c r="F42" s="67">
        <f t="shared" si="14"/>
        <v>587070841083</v>
      </c>
      <c r="G42" s="67">
        <f t="shared" si="14"/>
        <v>539074722544</v>
      </c>
      <c r="H42" s="67">
        <f t="shared" si="14"/>
        <v>569744668215</v>
      </c>
      <c r="I42" s="67">
        <f t="shared" si="14"/>
        <v>632952476402</v>
      </c>
      <c r="J42" s="67">
        <f t="shared" si="14"/>
        <v>624654898888</v>
      </c>
      <c r="K42" s="83"/>
    </row>
    <row r="43">
      <c r="A43" s="71"/>
      <c r="B43" s="71"/>
      <c r="C43" s="75"/>
      <c r="D43" s="94"/>
      <c r="E43" s="94"/>
      <c r="F43" s="94"/>
      <c r="G43" s="94"/>
      <c r="H43" s="94"/>
      <c r="I43" s="94"/>
      <c r="J43" s="94"/>
      <c r="K43" s="83"/>
    </row>
    <row r="44">
      <c r="A44" s="28"/>
      <c r="B44" s="58" t="s">
        <v>120</v>
      </c>
      <c r="C44" s="65"/>
      <c r="D44" s="60">
        <f t="shared" ref="D44:J44" si="15">sum(D39,D32,D25,D18)</f>
        <v>132830324.7</v>
      </c>
      <c r="E44" s="60">
        <f t="shared" si="15"/>
        <v>119024747.6</v>
      </c>
      <c r="F44" s="60">
        <f t="shared" si="15"/>
        <v>104713268</v>
      </c>
      <c r="G44" s="60">
        <f t="shared" si="15"/>
        <v>123857107.5</v>
      </c>
      <c r="H44" s="60">
        <f t="shared" si="15"/>
        <v>116468658.1</v>
      </c>
      <c r="I44" s="60">
        <f t="shared" si="15"/>
        <v>113534833.3</v>
      </c>
      <c r="J44" s="60">
        <f t="shared" si="15"/>
        <v>105005563.2</v>
      </c>
      <c r="K44" s="83"/>
    </row>
    <row r="45">
      <c r="A45" s="28"/>
      <c r="B45" s="61" t="s">
        <v>121</v>
      </c>
      <c r="C45" s="69">
        <f t="shared" ref="C45:J45" si="16">sum(C21,C28,C35,C42)</f>
        <v>875378928366</v>
      </c>
      <c r="D45" s="69">
        <f t="shared" si="16"/>
        <v>943010887797</v>
      </c>
      <c r="E45" s="69">
        <f t="shared" si="16"/>
        <v>932381519696</v>
      </c>
      <c r="F45" s="69">
        <f t="shared" si="16"/>
        <v>855290323491</v>
      </c>
      <c r="G45" s="69">
        <f t="shared" si="16"/>
        <v>867178714929</v>
      </c>
      <c r="H45" s="69">
        <f t="shared" si="16"/>
        <v>889723322560</v>
      </c>
      <c r="I45" s="69">
        <f t="shared" si="16"/>
        <v>928270331796</v>
      </c>
      <c r="J45" s="69">
        <f t="shared" si="16"/>
        <v>921526177643</v>
      </c>
      <c r="K45" s="83"/>
    </row>
    <row r="46">
      <c r="A46" s="28"/>
      <c r="B46" s="37"/>
      <c r="C46" s="29"/>
      <c r="D46" s="83"/>
      <c r="E46" s="83"/>
      <c r="F46" s="83"/>
      <c r="G46" s="83"/>
      <c r="H46" s="83"/>
      <c r="I46" s="83"/>
      <c r="J46" s="83"/>
      <c r="K46" s="83"/>
    </row>
    <row r="47">
      <c r="A47" s="40"/>
      <c r="B47" s="49">
        <v>180.0</v>
      </c>
      <c r="C47" s="33">
        <v>3.6525E8</v>
      </c>
      <c r="D47" s="76">
        <f>$C47*BOM!F57</f>
        <v>10763776032</v>
      </c>
      <c r="E47" s="76">
        <f>$C47*BOM!G57</f>
        <v>11279666095</v>
      </c>
      <c r="F47" s="76">
        <f>$C47*BOM!H57</f>
        <v>10851746176</v>
      </c>
      <c r="G47" s="76">
        <f>$C47*BOM!I57</f>
        <v>10253737424</v>
      </c>
      <c r="H47" s="76">
        <f>$C47*BOM!J57</f>
        <v>9711040777</v>
      </c>
      <c r="I47" s="76">
        <f>$C47*BOM!K57</f>
        <v>7923232392</v>
      </c>
      <c r="J47" s="76">
        <f>$C47*BOM!L57</f>
        <v>8374215747</v>
      </c>
      <c r="K47" s="83"/>
    </row>
    <row r="48">
      <c r="A48" s="40"/>
      <c r="B48" s="32">
        <v>110.0</v>
      </c>
      <c r="C48" s="33">
        <v>2.0E8</v>
      </c>
      <c r="D48" s="76">
        <f>$C48*BOM!F58</f>
        <v>7486158897</v>
      </c>
      <c r="E48" s="76">
        <f>$C48*BOM!G58</f>
        <v>6571311239</v>
      </c>
      <c r="F48" s="76">
        <f>$C48*BOM!H58</f>
        <v>7801956632</v>
      </c>
      <c r="G48" s="76">
        <f>$C48*BOM!I58</f>
        <v>8241760367</v>
      </c>
      <c r="H48" s="76">
        <f>$C48*BOM!J58</f>
        <v>8626311262</v>
      </c>
      <c r="I48" s="76">
        <f>$C48*BOM!K58</f>
        <v>8432134645</v>
      </c>
      <c r="J48" s="76">
        <f>$C48*BOM!L58</f>
        <v>9186773963</v>
      </c>
      <c r="K48" s="83"/>
    </row>
    <row r="49">
      <c r="A49" s="40"/>
      <c r="B49" s="49">
        <v>170.0</v>
      </c>
      <c r="C49" s="33">
        <v>2.603E8</v>
      </c>
      <c r="D49" s="76">
        <f>$C49*BOM!F59</f>
        <v>19495604188</v>
      </c>
      <c r="E49" s="76">
        <f>$C49*BOM!G59</f>
        <v>17557173218</v>
      </c>
      <c r="F49" s="76">
        <f>$C49*BOM!H59</f>
        <v>20175840462</v>
      </c>
      <c r="G49" s="76">
        <f>$C49*BOM!I59</f>
        <v>18689463504</v>
      </c>
      <c r="H49" s="76">
        <f>$C49*BOM!J59</f>
        <v>17923366092</v>
      </c>
      <c r="I49" s="76">
        <f>$C49*BOM!K59</f>
        <v>17168946923</v>
      </c>
      <c r="J49" s="76">
        <f>$C49*BOM!L59</f>
        <v>16467758687</v>
      </c>
      <c r="K49" s="83"/>
    </row>
    <row r="50">
      <c r="A50" s="40"/>
      <c r="B50" s="32">
        <v>110.0</v>
      </c>
      <c r="C50" s="33">
        <v>2.1585E8</v>
      </c>
      <c r="D50" s="76">
        <f>$C50*BOM!F60</f>
        <v>11202467878</v>
      </c>
      <c r="E50" s="76">
        <f>$C50*BOM!G60</f>
        <v>11469165421</v>
      </c>
      <c r="F50" s="76">
        <f>$C50*BOM!H60</f>
        <v>12085899006</v>
      </c>
      <c r="G50" s="76">
        <f>$C50*BOM!I60</f>
        <v>10876784255</v>
      </c>
      <c r="H50" s="76">
        <f>$C50*BOM!J60</f>
        <v>10001418176</v>
      </c>
      <c r="I50" s="76">
        <f>$C50*BOM!K60</f>
        <v>8736002577</v>
      </c>
      <c r="J50" s="76">
        <f>$C50*BOM!L60</f>
        <v>7880234435</v>
      </c>
      <c r="K50" s="83"/>
    </row>
    <row r="51">
      <c r="A51" s="40"/>
      <c r="B51" s="49">
        <v>180.0</v>
      </c>
      <c r="C51" s="33">
        <v>3.282E8</v>
      </c>
      <c r="D51" s="76">
        <f>$C51*BOM!F61</f>
        <v>30594420048</v>
      </c>
      <c r="E51" s="76">
        <f>$C51*BOM!G61</f>
        <v>29335142567</v>
      </c>
      <c r="F51" s="76">
        <f>$C51*BOM!H61</f>
        <v>30211349927</v>
      </c>
      <c r="G51" s="76">
        <f>$C51*BOM!I61</f>
        <v>28500708884</v>
      </c>
      <c r="H51" s="76">
        <f>$C51*BOM!J61</f>
        <v>27377672460</v>
      </c>
      <c r="I51" s="76">
        <f>$C51*BOM!K61</f>
        <v>27967983010</v>
      </c>
      <c r="J51" s="76">
        <f>$C51*BOM!L61</f>
        <v>24560903992</v>
      </c>
      <c r="K51" s="83"/>
    </row>
    <row r="52">
      <c r="A52" s="40"/>
      <c r="B52" s="49">
        <v>220.0</v>
      </c>
      <c r="C52" s="33">
        <v>4.264E8</v>
      </c>
      <c r="D52" s="76">
        <f>$C52*BOM!F62</f>
        <v>31565691906</v>
      </c>
      <c r="E52" s="76">
        <f>$C52*BOM!G62</f>
        <v>32236121484</v>
      </c>
      <c r="F52" s="76">
        <f>$C52*BOM!H62</f>
        <v>32139348355</v>
      </c>
      <c r="G52" s="76">
        <f>$C52*BOM!I62</f>
        <v>32052782390</v>
      </c>
      <c r="H52" s="76">
        <f>$C52*BOM!J62</f>
        <v>32943224143</v>
      </c>
      <c r="I52" s="76">
        <f>$C52*BOM!K62</f>
        <v>33098664301</v>
      </c>
      <c r="J52" s="76">
        <f>$C52*BOM!L62</f>
        <v>33140481294</v>
      </c>
      <c r="K52" s="83"/>
    </row>
    <row r="53">
      <c r="A53" s="28"/>
      <c r="B53" s="95" t="s">
        <v>122</v>
      </c>
      <c r="C53" s="29"/>
      <c r="D53" s="76">
        <f t="shared" ref="D53:J53" si="17">SUM(D47:D52)</f>
        <v>111108118948</v>
      </c>
      <c r="E53" s="76">
        <f t="shared" si="17"/>
        <v>108448580024</v>
      </c>
      <c r="F53" s="76">
        <f t="shared" si="17"/>
        <v>113266140558</v>
      </c>
      <c r="G53" s="76">
        <f t="shared" si="17"/>
        <v>108615236824</v>
      </c>
      <c r="H53" s="76">
        <f t="shared" si="17"/>
        <v>106583032910</v>
      </c>
      <c r="I53" s="76">
        <f t="shared" si="17"/>
        <v>103326963848</v>
      </c>
      <c r="J53" s="76">
        <f t="shared" si="17"/>
        <v>99610368118</v>
      </c>
      <c r="K53" s="83"/>
    </row>
    <row r="54">
      <c r="A54" s="28"/>
      <c r="B54" s="28"/>
      <c r="C54" s="29"/>
      <c r="D54" s="83"/>
      <c r="E54" s="83"/>
      <c r="F54" s="83"/>
      <c r="G54" s="83"/>
      <c r="H54" s="83"/>
      <c r="I54" s="83"/>
      <c r="J54" s="83"/>
      <c r="K54" s="83"/>
    </row>
    <row r="55">
      <c r="A55" s="28"/>
      <c r="B55" s="28" t="s">
        <v>123</v>
      </c>
      <c r="C55" s="29"/>
      <c r="D55" s="96" t="str">
        <f>SUM(R[-35]C[0],R[-28]C[0],R[-21]C[0],R[-14]C[0])</f>
        <v>#ERROR!</v>
      </c>
      <c r="E55" s="96" t="str">
        <f>SUM(R[-35]C[0],R[-28]C[0],R[-21]C[0],R[-14]C[0])</f>
        <v>#ERROR!</v>
      </c>
      <c r="F55" s="96" t="str">
        <f>SUM(R[-35]C[0],R[-28]C[0],R[-21]C[0],R[-14]C[0])</f>
        <v>#ERROR!</v>
      </c>
      <c r="G55" s="96" t="str">
        <f>SUM(R[-35]C[0],R[-28]C[0],R[-21]C[0],R[-14]C[0])</f>
        <v>#ERROR!</v>
      </c>
      <c r="H55" s="96" t="str">
        <f>SUM(R[-35]C[0],R[-28]C[0],R[-21]C[0],R[-14]C[0])</f>
        <v>#ERROR!</v>
      </c>
      <c r="I55" s="96" t="str">
        <f>SUM(R[-35]C[0],R[-28]C[0],R[-21]C[0],R[-14]C[0])</f>
        <v>#ERROR!</v>
      </c>
      <c r="J55" s="96" t="str">
        <f>SUM(R[-35]C[0],R[-28]C[0],R[-21]C[0],R[-14]C[0])</f>
        <v>#ERROR!</v>
      </c>
      <c r="K55" s="83"/>
    </row>
    <row r="56">
      <c r="A56" s="28"/>
      <c r="B56" s="28" t="s">
        <v>124</v>
      </c>
      <c r="C56" s="97" t="str">
        <f>753.9744663*1000000000</f>
        <v>#ERROR!</v>
      </c>
      <c r="D56" s="96">
        <v>8.0005968347E11</v>
      </c>
      <c r="E56" s="96">
        <v>8.1446914515E11</v>
      </c>
      <c r="F56" s="96">
        <v>7.828825320000002E11</v>
      </c>
      <c r="G56" s="96">
        <v>7.876297004200001E11</v>
      </c>
      <c r="H56" s="96">
        <v>7.359881354199999E11</v>
      </c>
      <c r="I56" s="96">
        <v>7.1359907252E11</v>
      </c>
      <c r="J56" s="96">
        <v>6.688058103700001E11</v>
      </c>
      <c r="K56" s="83"/>
    </row>
    <row r="57">
      <c r="A57" s="28"/>
      <c r="B57" s="28" t="s">
        <v>125</v>
      </c>
      <c r="C57" s="29"/>
      <c r="D57" s="96" t="str">
        <f>R[-1]C[0]-sum(R[-2]C[0],R[-4]C[0])</f>
        <v>#ERROR!</v>
      </c>
      <c r="E57" s="96" t="str">
        <f>R[-1]C[0]-sum(R[-2]C[0],R[-4]C[0])</f>
        <v>#ERROR!</v>
      </c>
      <c r="F57" s="96" t="str">
        <f>R[-1]C[0]-sum(R[-2]C[0],R[-4]C[0])</f>
        <v>#ERROR!</v>
      </c>
      <c r="G57" s="96" t="str">
        <f>R[-1]C[0]-sum(R[-2]C[0],R[-4]C[0])</f>
        <v>#ERROR!</v>
      </c>
      <c r="H57" s="96" t="str">
        <f>R[-1]C[0]-sum(R[-2]C[0],R[-4]C[0])</f>
        <v>#ERROR!</v>
      </c>
      <c r="I57" s="96" t="str">
        <f>R[-1]C[0]-sum(R[-2]C[0],R[-4]C[0])</f>
        <v>#ERROR!</v>
      </c>
      <c r="J57" s="96" t="str">
        <f>R[-1]C[0]-sum(R[-2]C[0],R[-4]C[0])</f>
        <v>#ERROR!</v>
      </c>
      <c r="K57" s="83"/>
    </row>
  </sheetData>
  <autoFilter ref="$A$1:$B$5"/>
  <drawing r:id="rId1"/>
</worksheet>
</file>