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harts/chartEx1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7.xml" ContentType="application/vnd.openxmlformats-officedocument.drawing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8.xml" ContentType="application/vnd.openxmlformats-officedocument.drawing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1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2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3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4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5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6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9.xml" ContentType="application/vnd.openxmlformats-officedocument.drawing+xml"/>
  <Override PartName="/xl/charts/chart57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8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9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0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1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2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3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4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5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66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harts/chart67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charts/chart68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charts/chart69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charts/chart70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drawings/drawing10.xml" ContentType="application/vnd.openxmlformats-officedocument.drawing+xml"/>
  <Override PartName="/xl/charts/chart71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charts/chart72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charts/chart73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charts/chart74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charts/chart75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charts/chart76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charts/chart77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charts/chart78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charts/chart79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charts/chart80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11.xml" ContentType="application/vnd.openxmlformats-officedocument.drawing+xml"/>
  <Override PartName="/xl/charts/chart81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charts/chart82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drawings/drawing12.xml" ContentType="application/vnd.openxmlformats-officedocument.drawing+xml"/>
  <Override PartName="/xl/charts/chart83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13.xml" ContentType="application/vnd.openxmlformats-officedocument.drawing+xml"/>
  <Override PartName="/xl/charts/chart84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drawings/drawing14.xml" ContentType="application/vnd.openxmlformats-officedocument.drawing+xml"/>
  <Override PartName="/xl/charts/chart85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charts/chart86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charts/chart87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charts/chart88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charts/chart89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8BA9875-35E3-42BE-8D29-10DA7101DADC}" xr6:coauthVersionLast="47" xr6:coauthVersionMax="47" xr10:uidLastSave="{00000000-0000-0000-0000-000000000000}"/>
  <bookViews>
    <workbookView xWindow="-110" yWindow="-110" windowWidth="19420" windowHeight="10420" xr2:uid="{56619E4C-9F9E-4979-88AA-6D7C61DDA438}"/>
  </bookViews>
  <sheets>
    <sheet name="FCFE" sheetId="28" r:id="rId1"/>
    <sheet name="Sheet9" sheetId="35" r:id="rId2"/>
    <sheet name="revenue breakdown" sheetId="1" r:id="rId3"/>
    <sheet name="Sheet5" sheetId="32" r:id="rId4"/>
    <sheet name="PE" sheetId="31" r:id="rId5"/>
    <sheet name="Financial ratio" sheetId="13" r:id="rId6"/>
    <sheet name="CAPEX" sheetId="30" r:id="rId7"/>
    <sheet name="BS IS" sheetId="26" r:id="rId8"/>
    <sheet name="Sheet6" sheetId="25" r:id="rId9"/>
    <sheet name="CAPM" sheetId="27" r:id="rId10"/>
    <sheet name="Domes" sheetId="29" r:id="rId11"/>
    <sheet name="Vinamilk" sheetId="19" r:id="rId12"/>
    <sheet name="Sheet7" sheetId="33" r:id="rId13"/>
    <sheet name="Condensed milk" sheetId="9" r:id="rId14"/>
    <sheet name="Asia Pacific" sheetId="21" r:id="rId15"/>
    <sheet name="yogurt and sour milk" sheetId="5" r:id="rId16"/>
    <sheet name="cheese" sheetId="7" r:id="rId17"/>
    <sheet name="drinking milk" sheetId="2" r:id="rId18"/>
    <sheet name="baby food" sheetId="4" r:id="rId19"/>
    <sheet name="Sheet8" sheetId="34" r:id="rId20"/>
    <sheet name="plant-based dairy" sheetId="6" r:id="rId21"/>
    <sheet name="Morigana" sheetId="18" r:id="rId22"/>
    <sheet name="BS" sheetId="22" r:id="rId23"/>
    <sheet name="Sheet4" sheetId="23" r:id="rId24"/>
    <sheet name="Hatsun" sheetId="17" r:id="rId25"/>
    <sheet name="Yakult" sheetId="16" r:id="rId26"/>
    <sheet name="Feihe" sheetId="14" r:id="rId27"/>
    <sheet name="Bright" sheetId="15" r:id="rId28"/>
    <sheet name="revenue growth" sheetId="10" r:id="rId29"/>
    <sheet name="Sheet2" sheetId="12" r:id="rId30"/>
    <sheet name="Sheet1" sheetId="11" r:id="rId31"/>
    <sheet name="butter spreads" sheetId="8" r:id="rId32"/>
    <sheet name="drinking milk 2" sheetId="3" r:id="rId33"/>
    <sheet name="Sheet3" sheetId="20" r:id="rId34"/>
  </sheets>
  <definedNames>
    <definedName name="_xlnm._FilterDatabase" localSheetId="18" hidden="1">'baby food'!$E$73:$N$101</definedName>
    <definedName name="_xlnm._FilterDatabase" localSheetId="17" hidden="1">'drinking milk'!$A$112:$K$150</definedName>
    <definedName name="_xlnm._FilterDatabase" localSheetId="11" hidden="1">Vinamilk!$A$5:$G$77</definedName>
    <definedName name="_xlnm._FilterDatabase" localSheetId="15" hidden="1">'yogurt and sour milk'!$A$61:$K$75</definedName>
    <definedName name="_xlchart.v1.0" hidden="1">CAPM!$E$3:$E$63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28" l="1"/>
  <c r="N8" i="28"/>
  <c r="F5" i="35"/>
  <c r="E6" i="35"/>
  <c r="E4" i="35"/>
  <c r="D4" i="35"/>
  <c r="C5" i="35"/>
  <c r="C4" i="35"/>
  <c r="N169" i="13"/>
  <c r="N170" i="13"/>
  <c r="N168" i="13"/>
  <c r="D24" i="32"/>
  <c r="D25" i="32"/>
  <c r="D26" i="32"/>
  <c r="B24" i="32"/>
  <c r="B25" i="32" s="1"/>
  <c r="B26" i="32" s="1"/>
  <c r="G21" i="32"/>
  <c r="E21" i="32"/>
  <c r="D21" i="32" s="1"/>
  <c r="C21" i="32" s="1"/>
  <c r="O16" i="27"/>
  <c r="O15" i="27"/>
  <c r="O14" i="27"/>
  <c r="O13" i="27"/>
  <c r="M5" i="27"/>
  <c r="I3" i="27"/>
  <c r="J3" i="27" s="1"/>
  <c r="U42" i="13"/>
  <c r="B31" i="13"/>
  <c r="B22" i="13"/>
  <c r="M23" i="6"/>
  <c r="N24" i="6"/>
  <c r="O24" i="6"/>
  <c r="P24" i="6"/>
  <c r="M24" i="6"/>
  <c r="M25" i="6"/>
  <c r="N25" i="6"/>
  <c r="O25" i="6"/>
  <c r="P25" i="6"/>
  <c r="L25" i="6"/>
  <c r="C4" i="33"/>
  <c r="D4" i="33"/>
  <c r="E4" i="33"/>
  <c r="F4" i="33"/>
  <c r="G4" i="33"/>
  <c r="M4" i="33"/>
  <c r="N4" i="33"/>
  <c r="V4" i="33" s="1"/>
  <c r="O4" i="33"/>
  <c r="W4" i="33" s="1"/>
  <c r="P4" i="33"/>
  <c r="X4" i="33" s="1"/>
  <c r="Q4" i="33"/>
  <c r="R4" i="33"/>
  <c r="Z4" i="33" s="1"/>
  <c r="C5" i="33"/>
  <c r="U4" i="33" s="1"/>
  <c r="D5" i="33"/>
  <c r="E5" i="33"/>
  <c r="F5" i="33"/>
  <c r="G5" i="33"/>
  <c r="Y4" i="33" s="1"/>
  <c r="M5" i="33"/>
  <c r="U5" i="33" s="1"/>
  <c r="N5" i="33"/>
  <c r="O5" i="33"/>
  <c r="P5" i="33"/>
  <c r="Q5" i="33"/>
  <c r="R5" i="33"/>
  <c r="V5" i="33"/>
  <c r="W5" i="33"/>
  <c r="X5" i="33"/>
  <c r="Z5" i="33"/>
  <c r="C6" i="33"/>
  <c r="D6" i="33"/>
  <c r="E6" i="33"/>
  <c r="F6" i="33"/>
  <c r="G6" i="33"/>
  <c r="M6" i="33"/>
  <c r="N6" i="33"/>
  <c r="O6" i="33"/>
  <c r="P6" i="33"/>
  <c r="Q6" i="33"/>
  <c r="R6" i="33"/>
  <c r="Z6" i="33" s="1"/>
  <c r="U6" i="33"/>
  <c r="C7" i="33"/>
  <c r="U7" i="33" s="1"/>
  <c r="D7" i="33"/>
  <c r="V7" i="33" s="1"/>
  <c r="H7" i="33"/>
  <c r="M7" i="33"/>
  <c r="N7" i="33"/>
  <c r="O7" i="33"/>
  <c r="W7" i="33" s="1"/>
  <c r="P7" i="33"/>
  <c r="X7" i="33" s="1"/>
  <c r="Q7" i="33"/>
  <c r="R7" i="33"/>
  <c r="Z7" i="33"/>
  <c r="G8" i="33"/>
  <c r="M8" i="33"/>
  <c r="N8" i="33"/>
  <c r="V8" i="33" s="1"/>
  <c r="O8" i="33"/>
  <c r="P8" i="33"/>
  <c r="Q8" i="33"/>
  <c r="Y8" i="33" s="1"/>
  <c r="R8" i="33"/>
  <c r="C9" i="33"/>
  <c r="D9" i="33"/>
  <c r="D13" i="33" s="1"/>
  <c r="V10" i="33" s="1"/>
  <c r="E9" i="33"/>
  <c r="E13" i="33" s="1"/>
  <c r="W10" i="33" s="1"/>
  <c r="F9" i="33"/>
  <c r="F13" i="33" s="1"/>
  <c r="X10" i="33" s="1"/>
  <c r="G9" i="33"/>
  <c r="H8" i="33" s="1"/>
  <c r="M9" i="33"/>
  <c r="U10" i="33" s="1"/>
  <c r="N9" i="33"/>
  <c r="O9" i="33"/>
  <c r="P9" i="33"/>
  <c r="Q9" i="33"/>
  <c r="R9" i="33"/>
  <c r="Z10" i="33" s="1"/>
  <c r="C10" i="33"/>
  <c r="C21" i="33" s="1"/>
  <c r="D21" i="33" s="1"/>
  <c r="D10" i="33"/>
  <c r="E10" i="33"/>
  <c r="F10" i="33"/>
  <c r="G10" i="33"/>
  <c r="C11" i="33"/>
  <c r="D11" i="33"/>
  <c r="E11" i="33"/>
  <c r="F11" i="33"/>
  <c r="G11" i="33"/>
  <c r="Y5" i="33" s="1"/>
  <c r="C12" i="33"/>
  <c r="D12" i="33"/>
  <c r="V6" i="33" s="1"/>
  <c r="E12" i="33"/>
  <c r="W6" i="33" s="1"/>
  <c r="F12" i="33"/>
  <c r="X6" i="33" s="1"/>
  <c r="G12" i="33"/>
  <c r="Y6" i="33" s="1"/>
  <c r="C13" i="33"/>
  <c r="H13" i="33"/>
  <c r="C14" i="33"/>
  <c r="D14" i="33"/>
  <c r="E14" i="33"/>
  <c r="E7" i="33" s="1"/>
  <c r="F14" i="33"/>
  <c r="F7" i="33" s="1"/>
  <c r="G14" i="33"/>
  <c r="G7" i="33" s="1"/>
  <c r="Y7" i="33" s="1"/>
  <c r="C15" i="33"/>
  <c r="C8" i="33" s="1"/>
  <c r="C24" i="33" s="1"/>
  <c r="D15" i="33"/>
  <c r="D8" i="33" s="1"/>
  <c r="E15" i="33"/>
  <c r="E8" i="33" s="1"/>
  <c r="W8" i="33" s="1"/>
  <c r="F15" i="33"/>
  <c r="F8" i="33" s="1"/>
  <c r="X8" i="33" s="1"/>
  <c r="G15" i="33"/>
  <c r="C16" i="33"/>
  <c r="D16" i="33"/>
  <c r="E16" i="33"/>
  <c r="F16" i="33"/>
  <c r="G16" i="33"/>
  <c r="C17" i="33"/>
  <c r="D17" i="33"/>
  <c r="E17" i="33"/>
  <c r="F17" i="33"/>
  <c r="G17" i="33"/>
  <c r="C18" i="33"/>
  <c r="D18" i="33"/>
  <c r="E18" i="33"/>
  <c r="F18" i="33"/>
  <c r="G18" i="33"/>
  <c r="C19" i="33"/>
  <c r="D19" i="33"/>
  <c r="E19" i="33"/>
  <c r="F19" i="33"/>
  <c r="G19" i="33"/>
  <c r="C20" i="33"/>
  <c r="D20" i="33"/>
  <c r="E20" i="33"/>
  <c r="F20" i="33"/>
  <c r="G20" i="33"/>
  <c r="C22" i="33"/>
  <c r="D22" i="33"/>
  <c r="C25" i="33"/>
  <c r="D24" i="33" s="1"/>
  <c r="B317" i="28"/>
  <c r="C317" i="28"/>
  <c r="D317" i="28"/>
  <c r="F317" i="28"/>
  <c r="G317" i="28"/>
  <c r="H317" i="28"/>
  <c r="I317" i="28"/>
  <c r="E317" i="28"/>
  <c r="B316" i="28"/>
  <c r="C316" i="28"/>
  <c r="D316" i="28"/>
  <c r="E316" i="28"/>
  <c r="F316" i="28"/>
  <c r="G316" i="28"/>
  <c r="H316" i="28"/>
  <c r="I316" i="28"/>
  <c r="B315" i="28"/>
  <c r="V106" i="28"/>
  <c r="W106" i="28"/>
  <c r="X106" i="28"/>
  <c r="Y106" i="28"/>
  <c r="U106" i="28"/>
  <c r="B13" i="31"/>
  <c r="D24" i="1"/>
  <c r="V175" i="28"/>
  <c r="V176" i="28" s="1"/>
  <c r="AE11" i="28"/>
  <c r="F118" i="28"/>
  <c r="P39" i="30"/>
  <c r="M39" i="30"/>
  <c r="N39" i="30"/>
  <c r="O39" i="30"/>
  <c r="L39" i="30"/>
  <c r="O32" i="30"/>
  <c r="N32" i="30"/>
  <c r="L32" i="30"/>
  <c r="M32" i="30"/>
  <c r="V48" i="28"/>
  <c r="M67" i="5"/>
  <c r="M66" i="5"/>
  <c r="M62" i="5"/>
  <c r="E144" i="4"/>
  <c r="E143" i="4"/>
  <c r="J104" i="4"/>
  <c r="K104" i="4"/>
  <c r="L104" i="4"/>
  <c r="M104" i="4"/>
  <c r="J105" i="4"/>
  <c r="K105" i="4"/>
  <c r="L105" i="4"/>
  <c r="M105" i="4"/>
  <c r="J106" i="4"/>
  <c r="K106" i="4"/>
  <c r="L106" i="4"/>
  <c r="M106" i="4"/>
  <c r="J107" i="4"/>
  <c r="K107" i="4"/>
  <c r="L107" i="4"/>
  <c r="M107" i="4"/>
  <c r="J108" i="4"/>
  <c r="K108" i="4"/>
  <c r="L108" i="4"/>
  <c r="M108" i="4"/>
  <c r="J109" i="4"/>
  <c r="K109" i="4"/>
  <c r="L109" i="4"/>
  <c r="M109" i="4"/>
  <c r="J110" i="4"/>
  <c r="K110" i="4"/>
  <c r="L110" i="4"/>
  <c r="M110" i="4"/>
  <c r="J111" i="4"/>
  <c r="K111" i="4"/>
  <c r="L111" i="4"/>
  <c r="M111" i="4"/>
  <c r="J112" i="4"/>
  <c r="K112" i="4"/>
  <c r="L112" i="4"/>
  <c r="M112" i="4"/>
  <c r="I112" i="4"/>
  <c r="I111" i="4"/>
  <c r="I110" i="4"/>
  <c r="I109" i="4"/>
  <c r="I108" i="4"/>
  <c r="I107" i="4"/>
  <c r="I106" i="4"/>
  <c r="I105" i="4"/>
  <c r="I104" i="4"/>
  <c r="H152" i="2"/>
  <c r="I152" i="2"/>
  <c r="J152" i="2"/>
  <c r="G152" i="2"/>
  <c r="H151" i="2"/>
  <c r="I151" i="2"/>
  <c r="J151" i="2"/>
  <c r="H153" i="2"/>
  <c r="I153" i="2"/>
  <c r="J153" i="2"/>
  <c r="G151" i="2"/>
  <c r="G153" i="2"/>
  <c r="F153" i="2"/>
  <c r="F151" i="2"/>
  <c r="F148" i="2"/>
  <c r="F28" i="2"/>
  <c r="M3" i="27"/>
  <c r="I4" i="27"/>
  <c r="B8" i="31"/>
  <c r="M12" i="28"/>
  <c r="M9" i="31"/>
  <c r="F190" i="13"/>
  <c r="H5" i="31"/>
  <c r="I3" i="31"/>
  <c r="G56" i="28"/>
  <c r="A11" i="28"/>
  <c r="C25" i="1"/>
  <c r="V107" i="28" l="1"/>
  <c r="F21" i="32"/>
  <c r="B23" i="32"/>
  <c r="B22" i="32" s="1"/>
  <c r="X18" i="33"/>
  <c r="P19" i="33" s="1"/>
  <c r="Y11" i="33"/>
  <c r="Y16" i="33" s="1"/>
  <c r="W11" i="33"/>
  <c r="W21" i="33" s="1"/>
  <c r="V11" i="33"/>
  <c r="V19" i="33" s="1"/>
  <c r="N20" i="33" s="1"/>
  <c r="Y17" i="33"/>
  <c r="Z8" i="33"/>
  <c r="H21" i="33"/>
  <c r="W19" i="33"/>
  <c r="O20" i="33" s="1"/>
  <c r="U11" i="33"/>
  <c r="U21" i="33" s="1"/>
  <c r="W20" i="33"/>
  <c r="O21" i="33" s="1"/>
  <c r="X21" i="33"/>
  <c r="U8" i="33"/>
  <c r="G13" i="33"/>
  <c r="Y10" i="33" s="1"/>
  <c r="B24" i="33"/>
  <c r="Z11" i="33"/>
  <c r="X11" i="33"/>
  <c r="W1" i="33" s="1"/>
  <c r="G187" i="28"/>
  <c r="H55" i="28"/>
  <c r="H56" i="28" s="1"/>
  <c r="D56" i="28"/>
  <c r="E56" i="28"/>
  <c r="F56" i="28"/>
  <c r="W54" i="28"/>
  <c r="B70" i="28"/>
  <c r="B74" i="28" s="1"/>
  <c r="F70" i="28"/>
  <c r="C120" i="28"/>
  <c r="D120" i="28"/>
  <c r="E120" i="28"/>
  <c r="C118" i="28"/>
  <c r="D118" i="28"/>
  <c r="E118" i="28"/>
  <c r="B120" i="28"/>
  <c r="B118" i="28"/>
  <c r="G138" i="28"/>
  <c r="H138" i="28" s="1"/>
  <c r="I138" i="28" s="1"/>
  <c r="J138" i="28" s="1"/>
  <c r="K138" i="28" s="1"/>
  <c r="G139" i="28"/>
  <c r="G142" i="28"/>
  <c r="H142" i="28" s="1"/>
  <c r="I142" i="28" s="1"/>
  <c r="J142" i="28" s="1"/>
  <c r="K142" i="28" s="1"/>
  <c r="G143" i="28"/>
  <c r="G144" i="28"/>
  <c r="H144" i="28" s="1"/>
  <c r="I144" i="28" s="1"/>
  <c r="J144" i="28" s="1"/>
  <c r="K144" i="28" s="1"/>
  <c r="G145" i="28"/>
  <c r="J64" i="19"/>
  <c r="K64" i="19" s="1"/>
  <c r="L64" i="19" s="1"/>
  <c r="I64" i="19"/>
  <c r="H64" i="19"/>
  <c r="L66" i="19"/>
  <c r="H65" i="19"/>
  <c r="K66" i="19"/>
  <c r="J66" i="19"/>
  <c r="I66" i="19"/>
  <c r="H66" i="19"/>
  <c r="H67" i="19"/>
  <c r="K60" i="19"/>
  <c r="L60" i="19" s="1"/>
  <c r="J60" i="19"/>
  <c r="I60" i="19"/>
  <c r="H60" i="19"/>
  <c r="H61" i="19"/>
  <c r="C108" i="28"/>
  <c r="D108" i="28"/>
  <c r="E108" i="28"/>
  <c r="F108" i="28"/>
  <c r="B108" i="28"/>
  <c r="C105" i="28"/>
  <c r="D105" i="28"/>
  <c r="E105" i="28"/>
  <c r="F105" i="28"/>
  <c r="B105" i="28"/>
  <c r="C102" i="28"/>
  <c r="D102" i="28"/>
  <c r="E102" i="28"/>
  <c r="F102" i="28"/>
  <c r="B102" i="28"/>
  <c r="H100" i="28"/>
  <c r="I100" i="28"/>
  <c r="J100" i="28"/>
  <c r="K100" i="28"/>
  <c r="G100" i="28"/>
  <c r="D98" i="28"/>
  <c r="E98" i="28"/>
  <c r="F98" i="28"/>
  <c r="C98" i="28"/>
  <c r="X2" i="28"/>
  <c r="X1" i="28" s="1"/>
  <c r="Y2" i="28"/>
  <c r="Y1" i="28" s="1"/>
  <c r="Z2" i="28"/>
  <c r="Z1" i="28" s="1"/>
  <c r="AA2" i="28"/>
  <c r="AA1" i="28" s="1"/>
  <c r="AG3" i="28" s="1"/>
  <c r="W2" i="28"/>
  <c r="W1" i="28" s="1"/>
  <c r="M40" i="26"/>
  <c r="N40" i="26"/>
  <c r="L39" i="26"/>
  <c r="M39" i="26"/>
  <c r="N39" i="26"/>
  <c r="K39" i="26"/>
  <c r="F31" i="30"/>
  <c r="G31" i="30" s="1"/>
  <c r="H31" i="30" s="1"/>
  <c r="H37" i="30" s="1"/>
  <c r="D30" i="30"/>
  <c r="E30" i="30"/>
  <c r="F30" i="30"/>
  <c r="G30" i="30"/>
  <c r="H30" i="30"/>
  <c r="I30" i="30"/>
  <c r="J30" i="30"/>
  <c r="K30" i="30"/>
  <c r="C30" i="30"/>
  <c r="F33" i="30"/>
  <c r="F35" i="30" s="1"/>
  <c r="G33" i="30"/>
  <c r="H33" i="30"/>
  <c r="I33" i="30"/>
  <c r="J33" i="30"/>
  <c r="K33" i="30"/>
  <c r="C33" i="30"/>
  <c r="E33" i="30"/>
  <c r="B33" i="30"/>
  <c r="C93" i="28"/>
  <c r="D93" i="28"/>
  <c r="E93" i="28"/>
  <c r="F93" i="28"/>
  <c r="Y19" i="33" l="1"/>
  <c r="AD7" i="33" s="1"/>
  <c r="U16" i="33"/>
  <c r="M17" i="33" s="1"/>
  <c r="W16" i="33"/>
  <c r="X23" i="33"/>
  <c r="X22" i="33"/>
  <c r="X16" i="33"/>
  <c r="P17" i="33" s="1"/>
  <c r="Y20" i="33"/>
  <c r="AD8" i="33" s="1"/>
  <c r="Z1" i="33"/>
  <c r="Z17" i="33"/>
  <c r="Y1" i="33"/>
  <c r="Z20" i="33"/>
  <c r="Z22" i="33"/>
  <c r="AD4" i="33"/>
  <c r="Q17" i="33"/>
  <c r="V21" i="33"/>
  <c r="U22" i="33"/>
  <c r="U20" i="33"/>
  <c r="M21" i="33" s="1"/>
  <c r="AD5" i="33"/>
  <c r="Q18" i="33"/>
  <c r="O17" i="33"/>
  <c r="X1" i="33"/>
  <c r="V23" i="33"/>
  <c r="U13" i="33"/>
  <c r="V1" i="33"/>
  <c r="W17" i="33"/>
  <c r="O18" i="33" s="1"/>
  <c r="Y18" i="33"/>
  <c r="W23" i="33"/>
  <c r="W22" i="33"/>
  <c r="X20" i="33"/>
  <c r="P21" i="33" s="1"/>
  <c r="Y22" i="33"/>
  <c r="Z19" i="33"/>
  <c r="Z21" i="33"/>
  <c r="U1" i="33"/>
  <c r="V17" i="33"/>
  <c r="N18" i="33" s="1"/>
  <c r="Q21" i="33"/>
  <c r="Z16" i="33"/>
  <c r="W14" i="33"/>
  <c r="Y14" i="33" s="1"/>
  <c r="U18" i="33"/>
  <c r="M19" i="33" s="1"/>
  <c r="U23" i="33"/>
  <c r="V16" i="33"/>
  <c r="V18" i="33"/>
  <c r="N19" i="33" s="1"/>
  <c r="Y23" i="33"/>
  <c r="Y21" i="33"/>
  <c r="V20" i="33"/>
  <c r="N21" i="33" s="1"/>
  <c r="Z18" i="33"/>
  <c r="U19" i="33"/>
  <c r="M20" i="33" s="1"/>
  <c r="U17" i="33"/>
  <c r="M18" i="33" s="1"/>
  <c r="V22" i="33"/>
  <c r="X19" i="33"/>
  <c r="P20" i="33" s="1"/>
  <c r="W18" i="33"/>
  <c r="O19" i="33" s="1"/>
  <c r="X17" i="33"/>
  <c r="P18" i="33" s="1"/>
  <c r="G97" i="28"/>
  <c r="U97" i="28"/>
  <c r="F112" i="28"/>
  <c r="F116" i="28"/>
  <c r="H35" i="30"/>
  <c r="Q30" i="30"/>
  <c r="K35" i="30"/>
  <c r="I35" i="30"/>
  <c r="C56" i="28"/>
  <c r="K55" i="28"/>
  <c r="J55" i="28"/>
  <c r="I55" i="28"/>
  <c r="I56" i="28" s="1"/>
  <c r="AC2" i="28"/>
  <c r="K118" i="28"/>
  <c r="J118" i="28"/>
  <c r="I118" i="28"/>
  <c r="H118" i="28"/>
  <c r="G118" i="28"/>
  <c r="AC3" i="28"/>
  <c r="AF3" i="28"/>
  <c r="AD3" i="28"/>
  <c r="AE3" i="28"/>
  <c r="J35" i="30"/>
  <c r="G35" i="30"/>
  <c r="I31" i="30"/>
  <c r="I37" i="30" s="1"/>
  <c r="Y13" i="33" l="1"/>
  <c r="Q20" i="33"/>
  <c r="N17" i="33"/>
  <c r="V29" i="33"/>
  <c r="W29" i="33"/>
  <c r="Q19" i="33"/>
  <c r="AD6" i="33"/>
  <c r="O22" i="33"/>
  <c r="O39" i="33" s="1"/>
  <c r="Y29" i="33"/>
  <c r="AA13" i="33"/>
  <c r="U14" i="33"/>
  <c r="E23" i="33"/>
  <c r="P22" i="33"/>
  <c r="P39" i="33" s="1"/>
  <c r="AB12" i="33"/>
  <c r="X29" i="33"/>
  <c r="Z29" i="33"/>
  <c r="U29" i="33"/>
  <c r="Q22" i="33"/>
  <c r="Q39" i="33" s="1"/>
  <c r="M22" i="33"/>
  <c r="M39" i="33" s="1"/>
  <c r="K36" i="30"/>
  <c r="H97" i="28"/>
  <c r="N4" i="28"/>
  <c r="K56" i="28"/>
  <c r="J56" i="28"/>
  <c r="AH3" i="28"/>
  <c r="J31" i="30"/>
  <c r="J37" i="30" s="1"/>
  <c r="N22" i="33" l="1"/>
  <c r="N39" i="33" s="1"/>
  <c r="M44" i="33" s="1"/>
  <c r="I97" i="28"/>
  <c r="O4" i="28"/>
  <c r="K31" i="30"/>
  <c r="K37" i="30" s="1"/>
  <c r="J97" i="28" l="1"/>
  <c r="P4" i="28"/>
  <c r="L31" i="30"/>
  <c r="K97" i="28" l="1"/>
  <c r="R4" i="28" s="1"/>
  <c r="Q4" i="28"/>
  <c r="L37" i="30"/>
  <c r="L29" i="30" s="1"/>
  <c r="N3" i="28" s="1"/>
  <c r="M31" i="30"/>
  <c r="N31" i="30" s="1"/>
  <c r="O31" i="30" s="1"/>
  <c r="M37" i="30" l="1"/>
  <c r="M29" i="30" s="1"/>
  <c r="O3" i="28" s="1"/>
  <c r="N37" i="30"/>
  <c r="L30" i="30"/>
  <c r="P31" i="30"/>
  <c r="P37" i="30" s="1"/>
  <c r="O37" i="30"/>
  <c r="N29" i="30" l="1"/>
  <c r="C85" i="28"/>
  <c r="D85" i="28"/>
  <c r="E85" i="28"/>
  <c r="F85" i="28"/>
  <c r="B85" i="28"/>
  <c r="C81" i="28"/>
  <c r="D81" i="28"/>
  <c r="E81" i="28"/>
  <c r="F81" i="28"/>
  <c r="C77" i="28"/>
  <c r="D77" i="28"/>
  <c r="E77" i="28"/>
  <c r="F77" i="28"/>
  <c r="B81" i="28"/>
  <c r="B77" i="28"/>
  <c r="O29" i="30" l="1"/>
  <c r="P3" i="28"/>
  <c r="C122" i="28"/>
  <c r="C129" i="28"/>
  <c r="B122" i="28"/>
  <c r="B129" i="28"/>
  <c r="F122" i="28"/>
  <c r="F129" i="28"/>
  <c r="E122" i="28"/>
  <c r="E129" i="28"/>
  <c r="D129" i="28"/>
  <c r="D122" i="28"/>
  <c r="E86" i="28"/>
  <c r="E78" i="28"/>
  <c r="F86" i="28"/>
  <c r="D86" i="28"/>
  <c r="F82" i="28"/>
  <c r="C86" i="28"/>
  <c r="D82" i="28"/>
  <c r="D78" i="28"/>
  <c r="C78" i="28"/>
  <c r="C82" i="28"/>
  <c r="E82" i="28"/>
  <c r="F78" i="28"/>
  <c r="G122" i="28" l="1"/>
  <c r="P29" i="30"/>
  <c r="R3" i="28" s="1"/>
  <c r="Q3" i="28"/>
  <c r="H122" i="28"/>
  <c r="I122" i="28"/>
  <c r="J122" i="28"/>
  <c r="K122" i="28"/>
  <c r="J86" i="28"/>
  <c r="J78" i="28"/>
  <c r="I86" i="28"/>
  <c r="H86" i="28"/>
  <c r="G82" i="28"/>
  <c r="G81" i="28" s="1"/>
  <c r="G86" i="28"/>
  <c r="G85" i="28" s="1"/>
  <c r="K82" i="28"/>
  <c r="K86" i="28"/>
  <c r="H82" i="28"/>
  <c r="I82" i="28"/>
  <c r="K78" i="28"/>
  <c r="J82" i="28"/>
  <c r="I78" i="28"/>
  <c r="H78" i="28"/>
  <c r="G78" i="28"/>
  <c r="G77" i="28" s="1"/>
  <c r="H85" i="28" l="1"/>
  <c r="I85" i="28" s="1"/>
  <c r="J85" i="28" s="1"/>
  <c r="K85" i="28" s="1"/>
  <c r="H81" i="28"/>
  <c r="I81" i="28" s="1"/>
  <c r="J81" i="28" s="1"/>
  <c r="K81" i="28" s="1"/>
  <c r="H77" i="28"/>
  <c r="I77" i="28" s="1"/>
  <c r="J77" i="28" s="1"/>
  <c r="K77" i="28" s="1"/>
  <c r="C70" i="28" l="1"/>
  <c r="D70" i="28"/>
  <c r="E70" i="28"/>
  <c r="V70" i="28"/>
  <c r="B67" i="28"/>
  <c r="C67" i="28"/>
  <c r="D67" i="28"/>
  <c r="E67" i="28"/>
  <c r="F67" i="28"/>
  <c r="C65" i="28"/>
  <c r="D65" i="28"/>
  <c r="E65" i="28"/>
  <c r="F65" i="28"/>
  <c r="B65" i="28"/>
  <c r="D64" i="28"/>
  <c r="E64" i="28"/>
  <c r="F64" i="28"/>
  <c r="C64" i="28"/>
  <c r="C62" i="28"/>
  <c r="D62" i="28"/>
  <c r="E62" i="28"/>
  <c r="F62" i="28"/>
  <c r="G62" i="28" s="1"/>
  <c r="H62" i="28" s="1"/>
  <c r="B62" i="28"/>
  <c r="C58" i="28"/>
  <c r="D58" i="28"/>
  <c r="E58" i="28"/>
  <c r="F58" i="28"/>
  <c r="G58" i="28" s="1"/>
  <c r="B58" i="28"/>
  <c r="V54" i="28"/>
  <c r="X53" i="28"/>
  <c r="X52" i="28"/>
  <c r="C51" i="28"/>
  <c r="D51" i="28"/>
  <c r="E51" i="28"/>
  <c r="F51" i="28"/>
  <c r="B51" i="28"/>
  <c r="V65" i="28"/>
  <c r="G59" i="28" l="1"/>
  <c r="H58" i="28"/>
  <c r="D48" i="28"/>
  <c r="D74" i="28"/>
  <c r="F71" i="28"/>
  <c r="C74" i="28"/>
  <c r="C75" i="28" s="1"/>
  <c r="C71" i="28"/>
  <c r="C66" i="28"/>
  <c r="B48" i="28"/>
  <c r="F48" i="28"/>
  <c r="E48" i="28"/>
  <c r="C48" i="28"/>
  <c r="D71" i="28"/>
  <c r="E74" i="28"/>
  <c r="D68" i="28"/>
  <c r="D66" i="28"/>
  <c r="E71" i="28"/>
  <c r="F68" i="28"/>
  <c r="E68" i="28"/>
  <c r="F66" i="28"/>
  <c r="C68" i="28"/>
  <c r="E66" i="28"/>
  <c r="E59" i="28"/>
  <c r="K58" i="28"/>
  <c r="F59" i="28"/>
  <c r="D52" i="28"/>
  <c r="D59" i="28"/>
  <c r="C59" i="28"/>
  <c r="J58" i="28"/>
  <c r="I58" i="28"/>
  <c r="C52" i="28"/>
  <c r="B52" i="28" s="1"/>
  <c r="U56" i="28"/>
  <c r="F52" i="28"/>
  <c r="E52" i="28"/>
  <c r="G66" i="28" l="1"/>
  <c r="E75" i="28"/>
  <c r="D75" i="28"/>
  <c r="H66" i="28"/>
  <c r="I66" i="28" s="1"/>
  <c r="J66" i="28" s="1"/>
  <c r="K66" i="28" s="1"/>
  <c r="K59" i="28"/>
  <c r="H68" i="28"/>
  <c r="I68" i="28" s="1"/>
  <c r="J68" i="28" s="1"/>
  <c r="K68" i="28" s="1"/>
  <c r="U66" i="28"/>
  <c r="G68" i="28"/>
  <c r="I59" i="28"/>
  <c r="J59" i="28"/>
  <c r="H59" i="28"/>
  <c r="T66" i="28" l="1"/>
  <c r="G64" i="28"/>
  <c r="F75" i="28"/>
  <c r="G70" i="28" s="1"/>
  <c r="H70" i="28" s="1"/>
  <c r="J64" i="28"/>
  <c r="I64" i="28"/>
  <c r="I62" i="28" s="1"/>
  <c r="K64" i="28"/>
  <c r="H64" i="28"/>
  <c r="I8" i="29"/>
  <c r="J8" i="29"/>
  <c r="K8" i="29"/>
  <c r="L8" i="29"/>
  <c r="H8" i="29"/>
  <c r="I7" i="29"/>
  <c r="J7" i="29"/>
  <c r="K7" i="29"/>
  <c r="L7" i="29"/>
  <c r="H7" i="29"/>
  <c r="E23" i="7"/>
  <c r="V29" i="28" s="1"/>
  <c r="E22" i="7"/>
  <c r="F22" i="7"/>
  <c r="G22" i="7"/>
  <c r="H22" i="7"/>
  <c r="I22" i="7"/>
  <c r="E26" i="6"/>
  <c r="J25" i="6"/>
  <c r="E25" i="6"/>
  <c r="F25" i="6"/>
  <c r="G25" i="6"/>
  <c r="H25" i="6"/>
  <c r="I25" i="6"/>
  <c r="M8" i="1"/>
  <c r="D28" i="28"/>
  <c r="E28" i="28"/>
  <c r="F28" i="28"/>
  <c r="C28" i="28"/>
  <c r="D27" i="28"/>
  <c r="E27" i="28"/>
  <c r="F27" i="28"/>
  <c r="C27" i="28"/>
  <c r="E19" i="9"/>
  <c r="F19" i="9"/>
  <c r="G19" i="9"/>
  <c r="H19" i="9"/>
  <c r="D19" i="9"/>
  <c r="D22" i="28"/>
  <c r="E22" i="28"/>
  <c r="F22" i="28"/>
  <c r="C22" i="28"/>
  <c r="I78" i="5"/>
  <c r="H78" i="5"/>
  <c r="F79" i="5"/>
  <c r="J78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F84" i="5"/>
  <c r="F81" i="5"/>
  <c r="F83" i="5"/>
  <c r="F82" i="5"/>
  <c r="D21" i="28"/>
  <c r="E21" i="28"/>
  <c r="F21" i="28"/>
  <c r="C21" i="28"/>
  <c r="V19" i="28" s="1"/>
  <c r="G21" i="28" s="1"/>
  <c r="N62" i="5"/>
  <c r="O62" i="5"/>
  <c r="P62" i="5"/>
  <c r="Q62" i="5"/>
  <c r="R19" i="5"/>
  <c r="Q86" i="9"/>
  <c r="R86" i="9"/>
  <c r="P85" i="9"/>
  <c r="Q85" i="9"/>
  <c r="R85" i="9"/>
  <c r="P86" i="9"/>
  <c r="O86" i="9"/>
  <c r="O87" i="9"/>
  <c r="O85" i="9"/>
  <c r="J150" i="2"/>
  <c r="H150" i="2"/>
  <c r="I150" i="2"/>
  <c r="H149" i="2"/>
  <c r="I149" i="2"/>
  <c r="J149" i="2"/>
  <c r="H148" i="2"/>
  <c r="I148" i="2"/>
  <c r="J148" i="2"/>
  <c r="G149" i="2"/>
  <c r="G150" i="2"/>
  <c r="G148" i="2"/>
  <c r="G80" i="5"/>
  <c r="H80" i="5"/>
  <c r="I80" i="5"/>
  <c r="J80" i="5"/>
  <c r="F80" i="5"/>
  <c r="G79" i="5"/>
  <c r="H79" i="5"/>
  <c r="I79" i="5"/>
  <c r="J79" i="5"/>
  <c r="G78" i="5"/>
  <c r="F78" i="5"/>
  <c r="F76" i="5"/>
  <c r="D15" i="28"/>
  <c r="E15" i="28"/>
  <c r="F15" i="28"/>
  <c r="C15" i="28"/>
  <c r="B30" i="4"/>
  <c r="D14" i="28"/>
  <c r="E14" i="28"/>
  <c r="F14" i="28"/>
  <c r="C14" i="28"/>
  <c r="C9" i="28"/>
  <c r="D9" i="28"/>
  <c r="E9" i="28"/>
  <c r="F9" i="28"/>
  <c r="G33" i="2"/>
  <c r="C8" i="28"/>
  <c r="D8" i="28"/>
  <c r="E8" i="28"/>
  <c r="F8" i="28"/>
  <c r="K36" i="2"/>
  <c r="K37" i="2" s="1"/>
  <c r="K28" i="2"/>
  <c r="F97" i="2"/>
  <c r="F98" i="2"/>
  <c r="S4" i="2"/>
  <c r="Y5" i="28"/>
  <c r="Z5" i="28"/>
  <c r="AA5" i="28"/>
  <c r="AB5" i="28"/>
  <c r="X5" i="28"/>
  <c r="B97" i="2"/>
  <c r="N4" i="2"/>
  <c r="B3" i="10"/>
  <c r="A30" i="28"/>
  <c r="A24" i="28"/>
  <c r="A17" i="28"/>
  <c r="A4" i="28"/>
  <c r="I70" i="28" l="1"/>
  <c r="J62" i="28"/>
  <c r="K62" i="28" s="1"/>
  <c r="V20" i="28"/>
  <c r="G22" i="28" s="1"/>
  <c r="K9" i="28"/>
  <c r="W13" i="28"/>
  <c r="V26" i="28"/>
  <c r="G28" i="28" s="1"/>
  <c r="G9" i="28"/>
  <c r="V25" i="28"/>
  <c r="G27" i="28" s="1"/>
  <c r="W12" i="28"/>
  <c r="G14" i="28" s="1"/>
  <c r="W6" i="28"/>
  <c r="J9" i="28"/>
  <c r="I9" i="28"/>
  <c r="H9" i="28"/>
  <c r="W9" i="28"/>
  <c r="V5" i="28"/>
  <c r="G8" i="28" s="1"/>
  <c r="M7" i="27"/>
  <c r="E3" i="27"/>
  <c r="E4" i="27"/>
  <c r="J70" i="28" l="1"/>
  <c r="G26" i="28"/>
  <c r="H21" i="28"/>
  <c r="I21" i="28" s="1"/>
  <c r="X13" i="28"/>
  <c r="G15" i="28"/>
  <c r="H15" i="28" s="1"/>
  <c r="I15" i="28" s="1"/>
  <c r="J15" i="28" s="1"/>
  <c r="K15" i="28" s="1"/>
  <c r="H14" i="28"/>
  <c r="I14" i="28" s="1"/>
  <c r="J14" i="28" s="1"/>
  <c r="K14" i="28" s="1"/>
  <c r="J22" i="28"/>
  <c r="I22" i="28"/>
  <c r="K22" i="28"/>
  <c r="H22" i="28"/>
  <c r="I28" i="28"/>
  <c r="J28" i="28"/>
  <c r="H28" i="28"/>
  <c r="K28" i="28"/>
  <c r="H27" i="28"/>
  <c r="H8" i="28"/>
  <c r="N3" i="27"/>
  <c r="E63" i="27"/>
  <c r="F8" i="27"/>
  <c r="F12" i="27"/>
  <c r="F16" i="27"/>
  <c r="F20" i="27"/>
  <c r="F24" i="27"/>
  <c r="F28" i="27"/>
  <c r="F32" i="27"/>
  <c r="F36" i="27"/>
  <c r="F40" i="27"/>
  <c r="F44" i="27"/>
  <c r="F48" i="27"/>
  <c r="F52" i="27"/>
  <c r="F56" i="27"/>
  <c r="F60" i="27"/>
  <c r="F3" i="27"/>
  <c r="K4" i="27"/>
  <c r="F4" i="27" s="1"/>
  <c r="K5" i="27"/>
  <c r="F5" i="27" s="1"/>
  <c r="K6" i="27"/>
  <c r="F6" i="27" s="1"/>
  <c r="K7" i="27"/>
  <c r="F7" i="27" s="1"/>
  <c r="K8" i="27"/>
  <c r="K9" i="27"/>
  <c r="K10" i="27"/>
  <c r="F10" i="27" s="1"/>
  <c r="K11" i="27"/>
  <c r="F11" i="27" s="1"/>
  <c r="K12" i="27"/>
  <c r="K13" i="27"/>
  <c r="F13" i="27" s="1"/>
  <c r="K14" i="27"/>
  <c r="F14" i="27" s="1"/>
  <c r="K15" i="27"/>
  <c r="F15" i="27" s="1"/>
  <c r="K16" i="27"/>
  <c r="K17" i="27"/>
  <c r="F17" i="27" s="1"/>
  <c r="G17" i="27" s="1"/>
  <c r="K18" i="27"/>
  <c r="F18" i="27" s="1"/>
  <c r="K19" i="27"/>
  <c r="F19" i="27" s="1"/>
  <c r="K20" i="27"/>
  <c r="K21" i="27"/>
  <c r="F21" i="27" s="1"/>
  <c r="K22" i="27"/>
  <c r="F22" i="27" s="1"/>
  <c r="K23" i="27"/>
  <c r="F23" i="27" s="1"/>
  <c r="K24" i="27"/>
  <c r="K25" i="27"/>
  <c r="K26" i="27"/>
  <c r="F26" i="27" s="1"/>
  <c r="K27" i="27"/>
  <c r="F27" i="27" s="1"/>
  <c r="K28" i="27"/>
  <c r="K29" i="27"/>
  <c r="F29" i="27" s="1"/>
  <c r="G29" i="27" s="1"/>
  <c r="K30" i="27"/>
  <c r="F30" i="27" s="1"/>
  <c r="K31" i="27"/>
  <c r="F31" i="27" s="1"/>
  <c r="K32" i="27"/>
  <c r="K33" i="27"/>
  <c r="F33" i="27" s="1"/>
  <c r="K34" i="27"/>
  <c r="F34" i="27" s="1"/>
  <c r="K35" i="27"/>
  <c r="F35" i="27" s="1"/>
  <c r="K36" i="27"/>
  <c r="K37" i="27"/>
  <c r="F37" i="27" s="1"/>
  <c r="K38" i="27"/>
  <c r="F38" i="27" s="1"/>
  <c r="K39" i="27"/>
  <c r="F39" i="27" s="1"/>
  <c r="K40" i="27"/>
  <c r="K41" i="27"/>
  <c r="F41" i="27" s="1"/>
  <c r="G41" i="27" s="1"/>
  <c r="K42" i="27"/>
  <c r="F42" i="27" s="1"/>
  <c r="K43" i="27"/>
  <c r="F43" i="27" s="1"/>
  <c r="K44" i="27"/>
  <c r="K45" i="27"/>
  <c r="F45" i="27" s="1"/>
  <c r="G45" i="27" s="1"/>
  <c r="K46" i="27"/>
  <c r="F46" i="27" s="1"/>
  <c r="K47" i="27"/>
  <c r="F47" i="27" s="1"/>
  <c r="K48" i="27"/>
  <c r="K49" i="27"/>
  <c r="K50" i="27"/>
  <c r="F50" i="27" s="1"/>
  <c r="K51" i="27"/>
  <c r="F51" i="27" s="1"/>
  <c r="K52" i="27"/>
  <c r="K53" i="27"/>
  <c r="F53" i="27" s="1"/>
  <c r="K54" i="27"/>
  <c r="F54" i="27" s="1"/>
  <c r="K55" i="27"/>
  <c r="F55" i="27" s="1"/>
  <c r="K56" i="27"/>
  <c r="K57" i="27"/>
  <c r="F57" i="27" s="1"/>
  <c r="K58" i="27"/>
  <c r="F58" i="27" s="1"/>
  <c r="K59" i="27"/>
  <c r="F59" i="27" s="1"/>
  <c r="K60" i="27"/>
  <c r="K61" i="27"/>
  <c r="F61" i="27" s="1"/>
  <c r="K62" i="27"/>
  <c r="F62" i="27" s="1"/>
  <c r="K63" i="27"/>
  <c r="F63" i="27" s="1"/>
  <c r="K3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C6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G57" i="27" s="1"/>
  <c r="C58" i="27"/>
  <c r="C59" i="27"/>
  <c r="C60" i="27"/>
  <c r="C61" i="27"/>
  <c r="C62" i="27"/>
  <c r="C3" i="27"/>
  <c r="G13" i="28" l="1"/>
  <c r="K70" i="28"/>
  <c r="H26" i="28"/>
  <c r="H13" i="28"/>
  <c r="K13" i="28"/>
  <c r="I27" i="28"/>
  <c r="I26" i="28" s="1"/>
  <c r="I13" i="28"/>
  <c r="J21" i="28"/>
  <c r="K21" i="28" s="1"/>
  <c r="I8" i="28"/>
  <c r="J13" i="28"/>
  <c r="G33" i="27"/>
  <c r="G61" i="27"/>
  <c r="G53" i="27"/>
  <c r="G37" i="27"/>
  <c r="G21" i="27"/>
  <c r="G13" i="27"/>
  <c r="G5" i="27"/>
  <c r="H56" i="27"/>
  <c r="H40" i="27"/>
  <c r="H16" i="27"/>
  <c r="G58" i="27"/>
  <c r="G34" i="27"/>
  <c r="G18" i="27"/>
  <c r="G10" i="27"/>
  <c r="H47" i="27"/>
  <c r="H31" i="27"/>
  <c r="H7" i="27"/>
  <c r="H13" i="27"/>
  <c r="G31" i="27"/>
  <c r="G7" i="27"/>
  <c r="H53" i="27"/>
  <c r="H29" i="27"/>
  <c r="G55" i="27"/>
  <c r="G47" i="27"/>
  <c r="H37" i="27"/>
  <c r="H58" i="27"/>
  <c r="H34" i="27"/>
  <c r="H10" i="27"/>
  <c r="F49" i="27"/>
  <c r="G49" i="27" s="1"/>
  <c r="F25" i="27"/>
  <c r="G25" i="27" s="1"/>
  <c r="F9" i="27"/>
  <c r="G9" i="27" s="1"/>
  <c r="H49" i="27"/>
  <c r="G50" i="27"/>
  <c r="G42" i="27"/>
  <c r="G26" i="27"/>
  <c r="G63" i="27"/>
  <c r="H48" i="27"/>
  <c r="H32" i="27"/>
  <c r="H24" i="27"/>
  <c r="H8" i="27"/>
  <c r="H62" i="27"/>
  <c r="H54" i="27"/>
  <c r="H46" i="27"/>
  <c r="H30" i="27"/>
  <c r="H22" i="27"/>
  <c r="H14" i="27"/>
  <c r="H6" i="27"/>
  <c r="G39" i="27"/>
  <c r="G23" i="27"/>
  <c r="G15" i="27"/>
  <c r="H61" i="27"/>
  <c r="H45" i="27"/>
  <c r="H21" i="27"/>
  <c r="H5" i="27"/>
  <c r="H20" i="27"/>
  <c r="H44" i="27"/>
  <c r="H4" i="27"/>
  <c r="H63" i="27"/>
  <c r="G44" i="27"/>
  <c r="G20" i="27"/>
  <c r="G4" i="27"/>
  <c r="G3" i="27"/>
  <c r="H3" i="27"/>
  <c r="H60" i="27"/>
  <c r="H52" i="27"/>
  <c r="H36" i="27"/>
  <c r="H28" i="27"/>
  <c r="H12" i="27"/>
  <c r="G60" i="27"/>
  <c r="G52" i="27"/>
  <c r="G36" i="27"/>
  <c r="G28" i="27"/>
  <c r="G12" i="27"/>
  <c r="H50" i="27"/>
  <c r="H42" i="27"/>
  <c r="H26" i="27"/>
  <c r="H18" i="27"/>
  <c r="H57" i="27"/>
  <c r="H41" i="27"/>
  <c r="H33" i="27"/>
  <c r="H17" i="27"/>
  <c r="H55" i="27"/>
  <c r="H39" i="27"/>
  <c r="H23" i="27"/>
  <c r="H15" i="27"/>
  <c r="G62" i="27"/>
  <c r="G54" i="27"/>
  <c r="G46" i="27"/>
  <c r="G38" i="27"/>
  <c r="G30" i="27"/>
  <c r="G22" i="27"/>
  <c r="G14" i="27"/>
  <c r="G6" i="27"/>
  <c r="H38" i="27"/>
  <c r="H59" i="27"/>
  <c r="H51" i="27"/>
  <c r="H43" i="27"/>
  <c r="H35" i="27"/>
  <c r="H27" i="27"/>
  <c r="H19" i="27"/>
  <c r="H11" i="27"/>
  <c r="G59" i="27"/>
  <c r="G51" i="27"/>
  <c r="G43" i="27"/>
  <c r="G35" i="27"/>
  <c r="G27" i="27"/>
  <c r="G19" i="27"/>
  <c r="G11" i="27"/>
  <c r="G56" i="27"/>
  <c r="G48" i="27"/>
  <c r="G40" i="27"/>
  <c r="G32" i="27"/>
  <c r="G24" i="27"/>
  <c r="G16" i="27"/>
  <c r="G8" i="27"/>
  <c r="G186" i="28" l="1"/>
  <c r="J27" i="28"/>
  <c r="J26" i="28" s="1"/>
  <c r="J8" i="28"/>
  <c r="H9" i="27"/>
  <c r="H25" i="27"/>
  <c r="K27" i="28" l="1"/>
  <c r="K26" i="28" s="1"/>
  <c r="K8" i="28"/>
  <c r="C204" i="13"/>
  <c r="D204" i="13"/>
  <c r="E204" i="13"/>
  <c r="B204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1" i="13"/>
  <c r="F192" i="13"/>
  <c r="F193" i="13"/>
  <c r="F194" i="13"/>
  <c r="F195" i="13"/>
  <c r="F196" i="13"/>
  <c r="F197" i="13"/>
  <c r="F162" i="13"/>
  <c r="A178" i="13"/>
  <c r="B178" i="13"/>
  <c r="C178" i="13"/>
  <c r="D178" i="13"/>
  <c r="E178" i="13"/>
  <c r="A172" i="13"/>
  <c r="B172" i="13"/>
  <c r="C172" i="13"/>
  <c r="D172" i="13"/>
  <c r="E172" i="13"/>
  <c r="A173" i="13"/>
  <c r="B173" i="13"/>
  <c r="C173" i="13"/>
  <c r="D173" i="13"/>
  <c r="E173" i="13"/>
  <c r="A174" i="13"/>
  <c r="B174" i="13"/>
  <c r="C174" i="13"/>
  <c r="D174" i="13"/>
  <c r="E174" i="13"/>
  <c r="A175" i="13"/>
  <c r="B175" i="13"/>
  <c r="C175" i="13"/>
  <c r="D175" i="13"/>
  <c r="E175" i="13"/>
  <c r="A176" i="13"/>
  <c r="B176" i="13"/>
  <c r="C176" i="13"/>
  <c r="D176" i="13"/>
  <c r="E176" i="13"/>
  <c r="A177" i="13"/>
  <c r="B177" i="13"/>
  <c r="C177" i="13"/>
  <c r="D177" i="13"/>
  <c r="E177" i="13"/>
  <c r="B171" i="13"/>
  <c r="C171" i="13"/>
  <c r="D171" i="13"/>
  <c r="E171" i="13"/>
  <c r="A171" i="13"/>
  <c r="C55" i="13"/>
  <c r="D55" i="13"/>
  <c r="E55" i="13"/>
  <c r="G51" i="13" s="1"/>
  <c r="B55" i="13"/>
  <c r="C162" i="13"/>
  <c r="D162" i="13"/>
  <c r="E162" i="13"/>
  <c r="C163" i="13"/>
  <c r="D163" i="13"/>
  <c r="E163" i="13"/>
  <c r="C164" i="13"/>
  <c r="D164" i="13"/>
  <c r="E164" i="13"/>
  <c r="C165" i="13"/>
  <c r="D165" i="13"/>
  <c r="E165" i="13"/>
  <c r="C166" i="13"/>
  <c r="D166" i="13"/>
  <c r="E166" i="13"/>
  <c r="C167" i="13"/>
  <c r="D167" i="13"/>
  <c r="E167" i="13"/>
  <c r="C168" i="13"/>
  <c r="D168" i="13"/>
  <c r="E168" i="13"/>
  <c r="B168" i="13"/>
  <c r="B167" i="13"/>
  <c r="B166" i="13"/>
  <c r="B165" i="13"/>
  <c r="B164" i="13"/>
  <c r="B163" i="13"/>
  <c r="B162" i="13"/>
  <c r="C148" i="13"/>
  <c r="D148" i="13"/>
  <c r="E148" i="13"/>
  <c r="B148" i="13"/>
  <c r="B152" i="13"/>
  <c r="B153" i="13"/>
  <c r="B154" i="13"/>
  <c r="B155" i="13"/>
  <c r="B156" i="13"/>
  <c r="B157" i="13"/>
  <c r="Q150" i="13"/>
  <c r="Q156" i="13" s="1"/>
  <c r="R150" i="13"/>
  <c r="S150" i="13"/>
  <c r="Q151" i="13"/>
  <c r="R151" i="13"/>
  <c r="S151" i="13"/>
  <c r="Q152" i="13"/>
  <c r="R152" i="13"/>
  <c r="S152" i="13"/>
  <c r="Q153" i="13"/>
  <c r="R153" i="13"/>
  <c r="S153" i="13"/>
  <c r="Q154" i="13"/>
  <c r="R154" i="13"/>
  <c r="S154" i="13"/>
  <c r="Q155" i="13"/>
  <c r="R155" i="13"/>
  <c r="S155" i="13"/>
  <c r="T151" i="13"/>
  <c r="T152" i="13"/>
  <c r="T153" i="13"/>
  <c r="T154" i="13"/>
  <c r="T155" i="13"/>
  <c r="T150" i="13"/>
  <c r="D152" i="13"/>
  <c r="E152" i="13"/>
  <c r="D153" i="13"/>
  <c r="E153" i="13"/>
  <c r="D154" i="13"/>
  <c r="E154" i="13"/>
  <c r="D155" i="13"/>
  <c r="E155" i="13"/>
  <c r="D156" i="13"/>
  <c r="E156" i="13"/>
  <c r="D157" i="13"/>
  <c r="E157" i="13"/>
  <c r="C157" i="13"/>
  <c r="C156" i="13"/>
  <c r="C155" i="13"/>
  <c r="C154" i="13"/>
  <c r="C153" i="13"/>
  <c r="C152" i="13"/>
  <c r="C142" i="13"/>
  <c r="D142" i="13"/>
  <c r="E142" i="13"/>
  <c r="C143" i="13"/>
  <c r="D143" i="13"/>
  <c r="E143" i="13"/>
  <c r="C144" i="13"/>
  <c r="D144" i="13"/>
  <c r="E144" i="13"/>
  <c r="C145" i="13"/>
  <c r="D145" i="13"/>
  <c r="E145" i="13"/>
  <c r="C146" i="13"/>
  <c r="D146" i="13"/>
  <c r="E146" i="13"/>
  <c r="C147" i="13"/>
  <c r="D147" i="13"/>
  <c r="E147" i="13"/>
  <c r="B147" i="13"/>
  <c r="B146" i="13"/>
  <c r="B145" i="13"/>
  <c r="B144" i="13"/>
  <c r="B143" i="13"/>
  <c r="B142" i="13"/>
  <c r="F89" i="26"/>
  <c r="C89" i="26"/>
  <c r="D89" i="26"/>
  <c r="E89" i="26"/>
  <c r="B89" i="26"/>
  <c r="A42" i="26"/>
  <c r="B42" i="26"/>
  <c r="G121" i="13"/>
  <c r="C111" i="13"/>
  <c r="B111" i="13"/>
  <c r="C85" i="13"/>
  <c r="D85" i="13"/>
  <c r="E85" i="13"/>
  <c r="C86" i="13"/>
  <c r="D86" i="13"/>
  <c r="E86" i="13"/>
  <c r="C87" i="13"/>
  <c r="D87" i="13"/>
  <c r="E87" i="13"/>
  <c r="C88" i="13"/>
  <c r="D88" i="13"/>
  <c r="E88" i="13"/>
  <c r="C89" i="13"/>
  <c r="D89" i="13"/>
  <c r="E89" i="13"/>
  <c r="C90" i="13"/>
  <c r="D90" i="13"/>
  <c r="E90" i="13"/>
  <c r="B90" i="13"/>
  <c r="B89" i="13"/>
  <c r="B88" i="13"/>
  <c r="B87" i="13"/>
  <c r="B86" i="13"/>
  <c r="B85" i="13"/>
  <c r="C71" i="26"/>
  <c r="D71" i="26"/>
  <c r="E71" i="26"/>
  <c r="F71" i="26"/>
  <c r="C135" i="13"/>
  <c r="D135" i="13"/>
  <c r="E135" i="13"/>
  <c r="B135" i="13"/>
  <c r="C76" i="13"/>
  <c r="C136" i="13" s="1"/>
  <c r="D76" i="13"/>
  <c r="D136" i="13" s="1"/>
  <c r="E76" i="13"/>
  <c r="E136" i="13" s="1"/>
  <c r="C77" i="13"/>
  <c r="D77" i="13"/>
  <c r="E77" i="13"/>
  <c r="C78" i="13"/>
  <c r="D78" i="13"/>
  <c r="E78" i="13"/>
  <c r="C79" i="13"/>
  <c r="D79" i="13"/>
  <c r="E79" i="13"/>
  <c r="C80" i="13"/>
  <c r="D80" i="13"/>
  <c r="E80" i="13"/>
  <c r="C81" i="13"/>
  <c r="D81" i="13"/>
  <c r="E81" i="13"/>
  <c r="B76" i="13"/>
  <c r="B136" i="13" s="1"/>
  <c r="B81" i="13"/>
  <c r="B80" i="13"/>
  <c r="B79" i="13"/>
  <c r="B78" i="13"/>
  <c r="B77" i="13"/>
  <c r="G27" i="26"/>
  <c r="G40" i="26" s="1"/>
  <c r="E43" i="13"/>
  <c r="C65" i="26"/>
  <c r="B43" i="13" s="1"/>
  <c r="D65" i="26"/>
  <c r="C43" i="13" s="1"/>
  <c r="E65" i="26"/>
  <c r="D43" i="13" s="1"/>
  <c r="F65" i="26"/>
  <c r="F40" i="26"/>
  <c r="E40" i="26"/>
  <c r="D40" i="26"/>
  <c r="C40" i="26"/>
  <c r="B40" i="26"/>
  <c r="B42" i="22"/>
  <c r="B66" i="22"/>
  <c r="F76" i="13"/>
  <c r="F77" i="13"/>
  <c r="F74" i="13"/>
  <c r="F75" i="13"/>
  <c r="F73" i="13"/>
  <c r="Q100" i="19"/>
  <c r="I97" i="13"/>
  <c r="J97" i="13"/>
  <c r="K97" i="13"/>
  <c r="I98" i="13"/>
  <c r="J98" i="13"/>
  <c r="K98" i="13"/>
  <c r="L98" i="13"/>
  <c r="I99" i="13"/>
  <c r="J99" i="13"/>
  <c r="K99" i="13"/>
  <c r="L99" i="13"/>
  <c r="J96" i="13"/>
  <c r="K96" i="13"/>
  <c r="L96" i="13"/>
  <c r="I96" i="13"/>
  <c r="L92" i="13"/>
  <c r="L97" i="13" s="1"/>
  <c r="C115" i="13"/>
  <c r="H25" i="22"/>
  <c r="H23" i="22"/>
  <c r="L183" i="2"/>
  <c r="M183" i="2"/>
  <c r="G41" i="13"/>
  <c r="G42" i="13"/>
  <c r="G43" i="13"/>
  <c r="G50" i="13"/>
  <c r="G52" i="13"/>
  <c r="G53" i="13"/>
  <c r="G56" i="13"/>
  <c r="G60" i="13"/>
  <c r="G61" i="13"/>
  <c r="G62" i="13"/>
  <c r="G69" i="13"/>
  <c r="G33" i="13"/>
  <c r="G22" i="13"/>
  <c r="G23" i="13"/>
  <c r="G31" i="13"/>
  <c r="G32" i="13"/>
  <c r="I37" i="13"/>
  <c r="B67" i="13"/>
  <c r="B68" i="13"/>
  <c r="B69" i="13"/>
  <c r="B70" i="13"/>
  <c r="B71" i="13"/>
  <c r="B72" i="13"/>
  <c r="D63" i="13"/>
  <c r="E63" i="13"/>
  <c r="C63" i="13"/>
  <c r="B63" i="13"/>
  <c r="C61" i="13"/>
  <c r="D61" i="13"/>
  <c r="E61" i="13"/>
  <c r="C62" i="13"/>
  <c r="D62" i="13"/>
  <c r="E62" i="13"/>
  <c r="B62" i="13"/>
  <c r="B61" i="13"/>
  <c r="B59" i="13"/>
  <c r="G55" i="13" s="1"/>
  <c r="B58" i="13"/>
  <c r="G54" i="13" s="1"/>
  <c r="B40" i="13"/>
  <c r="G40" i="13" s="1"/>
  <c r="C51" i="13"/>
  <c r="D51" i="13"/>
  <c r="E51" i="13"/>
  <c r="B51" i="13"/>
  <c r="C50" i="13"/>
  <c r="D50" i="13"/>
  <c r="E50" i="13"/>
  <c r="B50" i="13"/>
  <c r="C49" i="13"/>
  <c r="D49" i="13"/>
  <c r="E49" i="13"/>
  <c r="B49" i="13"/>
  <c r="C48" i="13"/>
  <c r="D48" i="13"/>
  <c r="E48" i="13"/>
  <c r="B48" i="13"/>
  <c r="C47" i="13"/>
  <c r="D47" i="13"/>
  <c r="E47" i="13"/>
  <c r="B47" i="13"/>
  <c r="C46" i="13"/>
  <c r="D46" i="13"/>
  <c r="E46" i="13"/>
  <c r="B46" i="13"/>
  <c r="B34" i="13"/>
  <c r="B35" i="13"/>
  <c r="B36" i="13"/>
  <c r="B37" i="13"/>
  <c r="B38" i="13"/>
  <c r="B39" i="13"/>
  <c r="C102" i="19"/>
  <c r="H108" i="19"/>
  <c r="C100" i="19" s="1"/>
  <c r="R100" i="19"/>
  <c r="S100" i="19"/>
  <c r="T100" i="19"/>
  <c r="C30" i="13"/>
  <c r="B18" i="21"/>
  <c r="D72" i="13"/>
  <c r="E72" i="13"/>
  <c r="C72" i="13"/>
  <c r="D71" i="13"/>
  <c r="E71" i="13"/>
  <c r="C71" i="13"/>
  <c r="D70" i="13"/>
  <c r="E70" i="13"/>
  <c r="C70" i="13"/>
  <c r="D69" i="13"/>
  <c r="E69" i="13"/>
  <c r="C69" i="13"/>
  <c r="D68" i="13"/>
  <c r="E68" i="13"/>
  <c r="C68" i="13"/>
  <c r="D67" i="13"/>
  <c r="E67" i="13"/>
  <c r="C67" i="13"/>
  <c r="D7" i="13"/>
  <c r="H6" i="13"/>
  <c r="E35" i="13"/>
  <c r="E39" i="13"/>
  <c r="E38" i="13"/>
  <c r="E37" i="13"/>
  <c r="E36" i="13"/>
  <c r="D39" i="13"/>
  <c r="D38" i="13"/>
  <c r="D37" i="13"/>
  <c r="D36" i="13"/>
  <c r="D35" i="13"/>
  <c r="C39" i="13"/>
  <c r="C38" i="13"/>
  <c r="C37" i="13"/>
  <c r="C36" i="13"/>
  <c r="C35" i="13"/>
  <c r="E34" i="13"/>
  <c r="G34" i="13" s="1"/>
  <c r="D34" i="13"/>
  <c r="D26" i="13"/>
  <c r="E21" i="19"/>
  <c r="C34" i="13" s="1"/>
  <c r="H235" i="22"/>
  <c r="H234" i="22"/>
  <c r="H233" i="22"/>
  <c r="H232" i="22"/>
  <c r="H231" i="22"/>
  <c r="H230" i="22"/>
  <c r="H229" i="22"/>
  <c r="H228" i="22"/>
  <c r="H227" i="22"/>
  <c r="H226" i="22"/>
  <c r="H225" i="22"/>
  <c r="H224" i="22"/>
  <c r="H223" i="22"/>
  <c r="H222" i="22"/>
  <c r="H221" i="22"/>
  <c r="H220" i="22"/>
  <c r="H219" i="22"/>
  <c r="H218" i="22"/>
  <c r="H217" i="22"/>
  <c r="H216" i="22"/>
  <c r="H215" i="22"/>
  <c r="H214" i="22"/>
  <c r="H213" i="22"/>
  <c r="H212" i="22"/>
  <c r="H211" i="22"/>
  <c r="H210" i="22"/>
  <c r="H209" i="22"/>
  <c r="H208" i="22"/>
  <c r="H207" i="22"/>
  <c r="H206" i="22"/>
  <c r="H205" i="22"/>
  <c r="H204" i="22"/>
  <c r="H203" i="22"/>
  <c r="H202" i="22"/>
  <c r="H201" i="22"/>
  <c r="H200" i="22"/>
  <c r="H199" i="22"/>
  <c r="H198" i="22"/>
  <c r="H197" i="22"/>
  <c r="H196" i="22"/>
  <c r="H195" i="22"/>
  <c r="H194" i="22"/>
  <c r="H193" i="22"/>
  <c r="H192" i="22"/>
  <c r="H191" i="22"/>
  <c r="H190" i="22"/>
  <c r="H189" i="22"/>
  <c r="H188" i="22"/>
  <c r="H187" i="22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4" i="22"/>
  <c r="C21" i="13"/>
  <c r="L37" i="13"/>
  <c r="K37" i="13"/>
  <c r="J37" i="13"/>
  <c r="I24" i="10"/>
  <c r="S20" i="5"/>
  <c r="R23" i="5"/>
  <c r="P21" i="5"/>
  <c r="O21" i="5"/>
  <c r="D97" i="2"/>
  <c r="L120" i="4"/>
  <c r="M120" i="4"/>
  <c r="K120" i="4"/>
  <c r="H18" i="21"/>
  <c r="F18" i="21"/>
  <c r="D18" i="21"/>
  <c r="F30" i="13"/>
  <c r="E30" i="13"/>
  <c r="D30" i="13"/>
  <c r="D21" i="13"/>
  <c r="F21" i="13"/>
  <c r="E21" i="13"/>
  <c r="N93" i="9"/>
  <c r="N92" i="9"/>
  <c r="H89" i="5"/>
  <c r="F86" i="5"/>
  <c r="K116" i="4"/>
  <c r="K117" i="4"/>
  <c r="K115" i="4"/>
  <c r="S197" i="2"/>
  <c r="E160" i="2"/>
  <c r="F152" i="2"/>
  <c r="D72" i="20"/>
  <c r="D70" i="20"/>
  <c r="L87" i="9"/>
  <c r="L85" i="9"/>
  <c r="N87" i="9"/>
  <c r="R88" i="9"/>
  <c r="Q88" i="9"/>
  <c r="P88" i="9"/>
  <c r="O88" i="9"/>
  <c r="N88" i="9"/>
  <c r="R87" i="9"/>
  <c r="Q87" i="9"/>
  <c r="P87" i="9"/>
  <c r="N86" i="9"/>
  <c r="N85" i="9"/>
  <c r="O84" i="9"/>
  <c r="P84" i="9"/>
  <c r="Q84" i="9"/>
  <c r="R84" i="9"/>
  <c r="N84" i="9"/>
  <c r="E83" i="5"/>
  <c r="D83" i="5"/>
  <c r="D81" i="5"/>
  <c r="D78" i="5"/>
  <c r="K81" i="5"/>
  <c r="H87" i="5"/>
  <c r="H88" i="5"/>
  <c r="D151" i="2"/>
  <c r="D148" i="2"/>
  <c r="F149" i="2"/>
  <c r="L149" i="2"/>
  <c r="G104" i="4"/>
  <c r="G107" i="4"/>
  <c r="G77" i="5"/>
  <c r="H77" i="5"/>
  <c r="I77" i="5"/>
  <c r="J77" i="5"/>
  <c r="F77" i="5"/>
  <c r="K78" i="5"/>
  <c r="P74" i="4"/>
  <c r="H105" i="4"/>
  <c r="H106" i="4"/>
  <c r="H104" i="4"/>
  <c r="N28" i="4"/>
  <c r="E22" i="2"/>
  <c r="B98" i="2"/>
  <c r="B39" i="2"/>
  <c r="C30" i="2" s="1"/>
  <c r="I19" i="13"/>
  <c r="C29" i="13"/>
  <c r="D29" i="13"/>
  <c r="E29" i="13"/>
  <c r="F29" i="13"/>
  <c r="C28" i="13"/>
  <c r="D28" i="13"/>
  <c r="E28" i="13"/>
  <c r="F28" i="13"/>
  <c r="B29" i="13"/>
  <c r="C27" i="13"/>
  <c r="D27" i="13"/>
  <c r="E27" i="13"/>
  <c r="F27" i="13"/>
  <c r="C26" i="13"/>
  <c r="E26" i="13"/>
  <c r="F26" i="13"/>
  <c r="C25" i="13"/>
  <c r="D25" i="13"/>
  <c r="E25" i="13"/>
  <c r="F25" i="13"/>
  <c r="C24" i="13"/>
  <c r="I39" i="13" s="1"/>
  <c r="D24" i="13"/>
  <c r="J39" i="13" s="1"/>
  <c r="E24" i="13"/>
  <c r="K39" i="13" s="1"/>
  <c r="F24" i="13"/>
  <c r="L39" i="13" s="1"/>
  <c r="B28" i="13"/>
  <c r="B27" i="13"/>
  <c r="B26" i="13"/>
  <c r="B25" i="13"/>
  <c r="B24" i="13"/>
  <c r="C20" i="13"/>
  <c r="D20" i="13"/>
  <c r="E20" i="13"/>
  <c r="F20" i="13"/>
  <c r="C19" i="13"/>
  <c r="D19" i="13"/>
  <c r="E19" i="13"/>
  <c r="F19" i="13"/>
  <c r="C18" i="13"/>
  <c r="D18" i="13"/>
  <c r="E18" i="13"/>
  <c r="F18" i="13"/>
  <c r="C17" i="13"/>
  <c r="D17" i="13"/>
  <c r="E17" i="13"/>
  <c r="F17" i="13"/>
  <c r="C16" i="13"/>
  <c r="D16" i="13"/>
  <c r="E16" i="13"/>
  <c r="F16" i="13"/>
  <c r="C15" i="13"/>
  <c r="I38" i="13" s="1"/>
  <c r="D15" i="13"/>
  <c r="J38" i="13" s="1"/>
  <c r="E15" i="13"/>
  <c r="K38" i="13" s="1"/>
  <c r="F15" i="13"/>
  <c r="L38" i="13" s="1"/>
  <c r="B20" i="13"/>
  <c r="B19" i="13"/>
  <c r="B18" i="13"/>
  <c r="B17" i="13"/>
  <c r="B16" i="13"/>
  <c r="B15" i="13"/>
  <c r="I8" i="19" a="1"/>
  <c r="I8" i="19" s="1"/>
  <c r="D6" i="13"/>
  <c r="D8" i="13"/>
  <c r="D9" i="13"/>
  <c r="D5" i="13"/>
  <c r="H73" i="9"/>
  <c r="H74" i="9"/>
  <c r="H75" i="9"/>
  <c r="H76" i="9"/>
  <c r="H77" i="9"/>
  <c r="H78" i="9"/>
  <c r="H79" i="9"/>
  <c r="H80" i="9"/>
  <c r="G73" i="9"/>
  <c r="G74" i="9"/>
  <c r="G75" i="9"/>
  <c r="G76" i="9"/>
  <c r="G77" i="9"/>
  <c r="G78" i="9"/>
  <c r="G79" i="9"/>
  <c r="G80" i="9"/>
  <c r="F73" i="9"/>
  <c r="F74" i="9"/>
  <c r="F75" i="9"/>
  <c r="F76" i="9"/>
  <c r="F77" i="9"/>
  <c r="F78" i="9"/>
  <c r="F79" i="9"/>
  <c r="F80" i="9"/>
  <c r="E73" i="9"/>
  <c r="E74" i="9"/>
  <c r="E75" i="9"/>
  <c r="E76" i="9"/>
  <c r="E77" i="9"/>
  <c r="E78" i="9"/>
  <c r="E79" i="9"/>
  <c r="E80" i="9"/>
  <c r="H72" i="9"/>
  <c r="E72" i="9"/>
  <c r="F72" i="9"/>
  <c r="G72" i="9"/>
  <c r="D73" i="9"/>
  <c r="D74" i="9"/>
  <c r="D75" i="9"/>
  <c r="D76" i="9"/>
  <c r="D77" i="9"/>
  <c r="D78" i="9"/>
  <c r="D79" i="9"/>
  <c r="D80" i="9"/>
  <c r="D72" i="9"/>
  <c r="C43" i="9"/>
  <c r="D43" i="9"/>
  <c r="C44" i="9"/>
  <c r="D44" i="9"/>
  <c r="C45" i="9"/>
  <c r="D45" i="9"/>
  <c r="D47" i="9" s="1"/>
  <c r="C46" i="9"/>
  <c r="D46" i="9"/>
  <c r="D42" i="9"/>
  <c r="D41" i="9"/>
  <c r="C42" i="9"/>
  <c r="C41" i="9"/>
  <c r="K8" i="9"/>
  <c r="K9" i="9"/>
  <c r="K10" i="9"/>
  <c r="K11" i="9"/>
  <c r="K7" i="9"/>
  <c r="N8" i="1"/>
  <c r="O8" i="1"/>
  <c r="P8" i="1"/>
  <c r="Q8" i="1"/>
  <c r="R8" i="1"/>
  <c r="N7" i="1"/>
  <c r="O7" i="1"/>
  <c r="P7" i="1"/>
  <c r="Q7" i="1"/>
  <c r="R7" i="1"/>
  <c r="M7" i="1"/>
  <c r="H7" i="1"/>
  <c r="H13" i="1"/>
  <c r="M9" i="1"/>
  <c r="C4" i="1"/>
  <c r="F22" i="12"/>
  <c r="C14" i="1"/>
  <c r="C7" i="1" s="1"/>
  <c r="M6" i="1"/>
  <c r="M5" i="1"/>
  <c r="M4" i="1"/>
  <c r="U4" i="1" s="1"/>
  <c r="N13" i="5"/>
  <c r="O13" i="5"/>
  <c r="R25" i="5" s="1"/>
  <c r="P13" i="5"/>
  <c r="S25" i="5" s="1"/>
  <c r="Q13" i="5"/>
  <c r="T25" i="5" s="1"/>
  <c r="M13" i="5"/>
  <c r="Q8" i="5"/>
  <c r="Q9" i="5"/>
  <c r="T21" i="5" s="1"/>
  <c r="Q10" i="5"/>
  <c r="T22" i="5" s="1"/>
  <c r="Q11" i="5"/>
  <c r="T23" i="5" s="1"/>
  <c r="Q12" i="5"/>
  <c r="T24" i="5" s="1"/>
  <c r="Q14" i="5"/>
  <c r="P8" i="5"/>
  <c r="P9" i="5"/>
  <c r="S21" i="5" s="1"/>
  <c r="P10" i="5"/>
  <c r="S22" i="5" s="1"/>
  <c r="P11" i="5"/>
  <c r="S23" i="5" s="1"/>
  <c r="P12" i="5"/>
  <c r="S24" i="5" s="1"/>
  <c r="P14" i="5"/>
  <c r="O8" i="5"/>
  <c r="R20" i="5" s="1"/>
  <c r="O9" i="5"/>
  <c r="R21" i="5" s="1"/>
  <c r="O10" i="5"/>
  <c r="R22" i="5" s="1"/>
  <c r="O11" i="5"/>
  <c r="O12" i="5"/>
  <c r="R24" i="5" s="1"/>
  <c r="O14" i="5"/>
  <c r="N8" i="5"/>
  <c r="N9" i="5"/>
  <c r="N10" i="5"/>
  <c r="N11" i="5"/>
  <c r="N12" i="5"/>
  <c r="N14" i="5"/>
  <c r="M8" i="5"/>
  <c r="M9" i="5"/>
  <c r="M10" i="5"/>
  <c r="M11" i="5"/>
  <c r="M12" i="5"/>
  <c r="N7" i="5"/>
  <c r="O7" i="5"/>
  <c r="P7" i="5"/>
  <c r="S19" i="5" s="1"/>
  <c r="Q7" i="5"/>
  <c r="T19" i="5" s="1"/>
  <c r="M7" i="5"/>
  <c r="D52" i="5"/>
  <c r="D47" i="5"/>
  <c r="D48" i="5"/>
  <c r="D49" i="5"/>
  <c r="D50" i="5"/>
  <c r="D51" i="5"/>
  <c r="D46" i="5"/>
  <c r="D53" i="5" s="1"/>
  <c r="H36" i="4"/>
  <c r="H33" i="4"/>
  <c r="H35" i="4"/>
  <c r="H34" i="4"/>
  <c r="H31" i="4"/>
  <c r="H32" i="4"/>
  <c r="H30" i="4"/>
  <c r="G30" i="4"/>
  <c r="G31" i="4"/>
  <c r="G32" i="4"/>
  <c r="G34" i="4"/>
  <c r="G35" i="4"/>
  <c r="G36" i="4"/>
  <c r="G29" i="4"/>
  <c r="P69" i="2"/>
  <c r="P63" i="2"/>
  <c r="P64" i="2"/>
  <c r="P65" i="2"/>
  <c r="P66" i="2"/>
  <c r="P67" i="2"/>
  <c r="P68" i="2"/>
  <c r="P62" i="2"/>
  <c r="B31" i="4"/>
  <c r="P44" i="4"/>
  <c r="F31" i="4"/>
  <c r="F32" i="4"/>
  <c r="F33" i="4"/>
  <c r="F34" i="4"/>
  <c r="F35" i="4"/>
  <c r="E31" i="4"/>
  <c r="E32" i="4"/>
  <c r="E33" i="4"/>
  <c r="E34" i="4"/>
  <c r="E35" i="4"/>
  <c r="D31" i="4"/>
  <c r="D32" i="4"/>
  <c r="D33" i="4"/>
  <c r="D34" i="4"/>
  <c r="D35" i="4"/>
  <c r="C31" i="4"/>
  <c r="C32" i="4"/>
  <c r="C33" i="4"/>
  <c r="C34" i="4"/>
  <c r="C35" i="4"/>
  <c r="B32" i="4"/>
  <c r="B33" i="4"/>
  <c r="B34" i="4"/>
  <c r="B35" i="4"/>
  <c r="F30" i="4"/>
  <c r="E30" i="4"/>
  <c r="D30" i="4"/>
  <c r="C30" i="4"/>
  <c r="G98" i="2"/>
  <c r="G99" i="2"/>
  <c r="G100" i="2"/>
  <c r="G101" i="2"/>
  <c r="G102" i="2"/>
  <c r="G97" i="2"/>
  <c r="G68" i="2"/>
  <c r="G87" i="2" s="1"/>
  <c r="H68" i="2"/>
  <c r="F68" i="2"/>
  <c r="F99" i="2"/>
  <c r="F100" i="2"/>
  <c r="F101" i="2"/>
  <c r="F102" i="2"/>
  <c r="E98" i="2"/>
  <c r="E99" i="2"/>
  <c r="E100" i="2"/>
  <c r="E101" i="2"/>
  <c r="E102" i="2"/>
  <c r="D98" i="2"/>
  <c r="D99" i="2"/>
  <c r="D100" i="2"/>
  <c r="D101" i="2"/>
  <c r="D102" i="2"/>
  <c r="C98" i="2"/>
  <c r="C99" i="2"/>
  <c r="C100" i="2"/>
  <c r="C101" i="2"/>
  <c r="C102" i="2"/>
  <c r="B102" i="2"/>
  <c r="B99" i="2"/>
  <c r="B100" i="2"/>
  <c r="B101" i="2"/>
  <c r="E97" i="2"/>
  <c r="C97" i="2"/>
  <c r="S48" i="4"/>
  <c r="Q45" i="4"/>
  <c r="Q48" i="4" s="1"/>
  <c r="R45" i="4"/>
  <c r="R48" i="4" s="1"/>
  <c r="S45" i="4"/>
  <c r="T45" i="4"/>
  <c r="T48" i="4" s="1"/>
  <c r="P45" i="4"/>
  <c r="P48" i="4" s="1"/>
  <c r="Q44" i="4"/>
  <c r="R44" i="4"/>
  <c r="S44" i="4"/>
  <c r="T44" i="4"/>
  <c r="L63" i="2"/>
  <c r="Q63" i="2" s="1"/>
  <c r="L64" i="2"/>
  <c r="Q64" i="2" s="1"/>
  <c r="L65" i="2"/>
  <c r="Q65" i="2" s="1"/>
  <c r="L66" i="2"/>
  <c r="Q66" i="2" s="1"/>
  <c r="L67" i="2"/>
  <c r="Q67" i="2" s="1"/>
  <c r="L62" i="2"/>
  <c r="Q62" i="2" s="1"/>
  <c r="N68" i="2"/>
  <c r="L68" i="2" s="1"/>
  <c r="Q68" i="2" s="1"/>
  <c r="M68" i="2"/>
  <c r="M69" i="2" s="1"/>
  <c r="K4" i="2"/>
  <c r="D39" i="2"/>
  <c r="D103" i="2" s="1"/>
  <c r="M13" i="4"/>
  <c r="O28" i="4"/>
  <c r="P28" i="4"/>
  <c r="Q28" i="4"/>
  <c r="R28" i="4"/>
  <c r="C39" i="2"/>
  <c r="C103" i="2" s="1"/>
  <c r="E39" i="2"/>
  <c r="E103" i="2" s="1"/>
  <c r="F39" i="2"/>
  <c r="F103" i="2" s="1"/>
  <c r="O3" i="2"/>
  <c r="G28" i="2" s="1"/>
  <c r="O4" i="2" s="1"/>
  <c r="P3" i="2"/>
  <c r="H28" i="2" s="1"/>
  <c r="P4" i="2" s="1"/>
  <c r="Q3" i="2"/>
  <c r="I28" i="2" s="1"/>
  <c r="Q4" i="2" s="1"/>
  <c r="R3" i="2"/>
  <c r="J28" i="2" s="1"/>
  <c r="R4" i="2" s="1"/>
  <c r="S3" i="2"/>
  <c r="N3" i="2"/>
  <c r="F145" i="2" s="1"/>
  <c r="B4" i="10"/>
  <c r="C5" i="1"/>
  <c r="C6" i="1"/>
  <c r="C9" i="1"/>
  <c r="C10" i="1"/>
  <c r="C11" i="1"/>
  <c r="C12" i="1"/>
  <c r="C15" i="1"/>
  <c r="C16" i="1"/>
  <c r="C17" i="1"/>
  <c r="C18" i="1"/>
  <c r="C19" i="1"/>
  <c r="C20" i="1"/>
  <c r="D5" i="1"/>
  <c r="E5" i="1"/>
  <c r="F5" i="1"/>
  <c r="G5" i="1"/>
  <c r="D6" i="1"/>
  <c r="E6" i="1"/>
  <c r="F6" i="1"/>
  <c r="G6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4" i="1"/>
  <c r="D7" i="1" s="1"/>
  <c r="E14" i="1"/>
  <c r="E7" i="1" s="1"/>
  <c r="F14" i="1"/>
  <c r="F7" i="1" s="1"/>
  <c r="X7" i="1" s="1"/>
  <c r="G14" i="1"/>
  <c r="G7" i="1" s="1"/>
  <c r="D15" i="1"/>
  <c r="E15" i="1"/>
  <c r="E8" i="1" s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E4" i="1"/>
  <c r="F4" i="1"/>
  <c r="G4" i="1"/>
  <c r="D4" i="1"/>
  <c r="N9" i="1"/>
  <c r="O9" i="1"/>
  <c r="P9" i="1"/>
  <c r="Q9" i="1"/>
  <c r="N6" i="1"/>
  <c r="V6" i="1" s="1"/>
  <c r="O6" i="1"/>
  <c r="W6" i="1" s="1"/>
  <c r="P6" i="1"/>
  <c r="X6" i="1" s="1"/>
  <c r="Q6" i="1"/>
  <c r="Y6" i="1" s="1"/>
  <c r="R6" i="1"/>
  <c r="Z6" i="1" s="1"/>
  <c r="N5" i="1"/>
  <c r="O5" i="1"/>
  <c r="P5" i="1"/>
  <c r="X5" i="1" s="1"/>
  <c r="Q5" i="1"/>
  <c r="N4" i="1"/>
  <c r="O4" i="1"/>
  <c r="P4" i="1"/>
  <c r="Q4" i="1"/>
  <c r="C3" i="10"/>
  <c r="D3" i="10"/>
  <c r="E3" i="10"/>
  <c r="F3" i="10"/>
  <c r="C2" i="10"/>
  <c r="D2" i="10"/>
  <c r="E2" i="10"/>
  <c r="F2" i="10"/>
  <c r="B2" i="10"/>
  <c r="B9" i="10"/>
  <c r="R9" i="1"/>
  <c r="R5" i="1"/>
  <c r="Z5" i="1" s="1"/>
  <c r="R4" i="1"/>
  <c r="Z4" i="1" s="1"/>
  <c r="M12" i="6"/>
  <c r="U11" i="5"/>
  <c r="J23" i="4"/>
  <c r="F23" i="4"/>
  <c r="G23" i="4"/>
  <c r="H23" i="4"/>
  <c r="I23" i="4"/>
  <c r="E23" i="4"/>
  <c r="N13" i="4"/>
  <c r="C36" i="4" s="1"/>
  <c r="O13" i="4"/>
  <c r="D36" i="4" s="1"/>
  <c r="P13" i="4"/>
  <c r="E36" i="4" s="1"/>
  <c r="Q13" i="4"/>
  <c r="F36" i="4" s="1"/>
  <c r="R13" i="4"/>
  <c r="U13" i="4" s="1"/>
  <c r="U14" i="4" s="1"/>
  <c r="E9" i="3"/>
  <c r="F9" i="3"/>
  <c r="G9" i="3"/>
  <c r="H9" i="3"/>
  <c r="D9" i="3"/>
  <c r="U9" i="2"/>
  <c r="V8" i="2" s="1"/>
  <c r="R13" i="5" l="1"/>
  <c r="T20" i="5"/>
  <c r="N156" i="13"/>
  <c r="G66" i="13"/>
  <c r="R156" i="13"/>
  <c r="S156" i="13"/>
  <c r="T156" i="13"/>
  <c r="G67" i="13"/>
  <c r="G35" i="13"/>
  <c r="G39" i="13"/>
  <c r="G45" i="13"/>
  <c r="G58" i="13"/>
  <c r="G59" i="13"/>
  <c r="G47" i="13"/>
  <c r="G16" i="13"/>
  <c r="G18" i="13"/>
  <c r="G20" i="13"/>
  <c r="G49" i="13"/>
  <c r="G64" i="13"/>
  <c r="G30" i="13"/>
  <c r="G63" i="13"/>
  <c r="G28" i="13"/>
  <c r="G38" i="13"/>
  <c r="G21" i="13"/>
  <c r="G26" i="13"/>
  <c r="G65" i="13"/>
  <c r="G57" i="13"/>
  <c r="G37" i="13"/>
  <c r="G68" i="13"/>
  <c r="G44" i="13"/>
  <c r="G46" i="13"/>
  <c r="G48" i="13"/>
  <c r="G36" i="13"/>
  <c r="G17" i="13"/>
  <c r="G19" i="13"/>
  <c r="G27" i="13"/>
  <c r="G25" i="13"/>
  <c r="G29" i="13"/>
  <c r="G24" i="13"/>
  <c r="G15" i="13"/>
  <c r="Q104" i="19"/>
  <c r="H14" i="13"/>
  <c r="W7" i="1"/>
  <c r="C8" i="1"/>
  <c r="V5" i="1"/>
  <c r="K145" i="2"/>
  <c r="K148" i="2"/>
  <c r="G103" i="2"/>
  <c r="F157" i="2"/>
  <c r="H145" i="2"/>
  <c r="G156" i="2"/>
  <c r="B55" i="2"/>
  <c r="B103" i="2"/>
  <c r="B104" i="2" s="1"/>
  <c r="H157" i="2"/>
  <c r="J145" i="2"/>
  <c r="I145" i="2"/>
  <c r="G145" i="2"/>
  <c r="G157" i="2"/>
  <c r="I156" i="2"/>
  <c r="F156" i="2"/>
  <c r="J157" i="2"/>
  <c r="F161" i="2" s="1"/>
  <c r="J156" i="2"/>
  <c r="I157" i="2"/>
  <c r="H156" i="2"/>
  <c r="L147" i="2"/>
  <c r="L148" i="2"/>
  <c r="H37" i="4"/>
  <c r="I15" i="13"/>
  <c r="J15" i="13"/>
  <c r="H12" i="13"/>
  <c r="Y5" i="1"/>
  <c r="Z7" i="1"/>
  <c r="Z11" i="1" s="1"/>
  <c r="Y7" i="1"/>
  <c r="Y4" i="1"/>
  <c r="X4" i="1"/>
  <c r="G8" i="1"/>
  <c r="Y8" i="1" s="1"/>
  <c r="H8" i="1"/>
  <c r="Z8" i="1" s="1"/>
  <c r="U6" i="1"/>
  <c r="F8" i="1"/>
  <c r="X8" i="1" s="1"/>
  <c r="C13" i="1"/>
  <c r="U10" i="1" s="1"/>
  <c r="U7" i="1"/>
  <c r="V7" i="1"/>
  <c r="U8" i="1"/>
  <c r="B24" i="1"/>
  <c r="W8" i="1"/>
  <c r="G13" i="1"/>
  <c r="Y10" i="1" s="1"/>
  <c r="D22" i="1"/>
  <c r="Z10" i="1"/>
  <c r="W5" i="1"/>
  <c r="F13" i="1"/>
  <c r="X10" i="1" s="1"/>
  <c r="E13" i="1"/>
  <c r="W10" i="1" s="1"/>
  <c r="D13" i="1"/>
  <c r="V10" i="1" s="1"/>
  <c r="V4" i="1"/>
  <c r="C21" i="1"/>
  <c r="D21" i="1" s="1"/>
  <c r="W4" i="1"/>
  <c r="D8" i="1"/>
  <c r="V8" i="1" s="1"/>
  <c r="H21" i="1"/>
  <c r="C24" i="1"/>
  <c r="U5" i="1"/>
  <c r="P52" i="4"/>
  <c r="B36" i="4"/>
  <c r="L69" i="2"/>
  <c r="Q69" i="2" s="1"/>
  <c r="R62" i="2" s="1"/>
  <c r="E104" i="2"/>
  <c r="F104" i="2"/>
  <c r="D104" i="2"/>
  <c r="C104" i="2"/>
  <c r="Z20" i="1" l="1"/>
  <c r="Y1" i="1"/>
  <c r="Z1" i="1"/>
  <c r="F160" i="2"/>
  <c r="U11" i="1"/>
  <c r="U19" i="1" s="1"/>
  <c r="M20" i="1" s="1"/>
  <c r="B25" i="28" s="1"/>
  <c r="M156" i="13"/>
  <c r="L156" i="13" s="1"/>
  <c r="K156" i="13"/>
  <c r="X11" i="1"/>
  <c r="Y11" i="1"/>
  <c r="C22" i="1"/>
  <c r="Z19" i="1"/>
  <c r="U18" i="1"/>
  <c r="M19" i="1" s="1"/>
  <c r="B18" i="28" s="1"/>
  <c r="W11" i="1"/>
  <c r="V11" i="1"/>
  <c r="Y19" i="1" l="1"/>
  <c r="X1" i="1"/>
  <c r="V19" i="1"/>
  <c r="N20" i="1" s="1"/>
  <c r="C25" i="28" s="1"/>
  <c r="U1" i="1"/>
  <c r="X18" i="1"/>
  <c r="P19" i="1" s="1"/>
  <c r="E18" i="28" s="1"/>
  <c r="W1" i="1"/>
  <c r="W16" i="1"/>
  <c r="O17" i="1" s="1"/>
  <c r="V1" i="1"/>
  <c r="U23" i="1"/>
  <c r="U20" i="1"/>
  <c r="M21" i="1" s="1"/>
  <c r="B31" i="28" s="1"/>
  <c r="Y18" i="1"/>
  <c r="W19" i="1"/>
  <c r="O20" i="1" s="1"/>
  <c r="D25" i="28" s="1"/>
  <c r="U13" i="1"/>
  <c r="X23" i="1"/>
  <c r="Y20" i="1"/>
  <c r="X20" i="1"/>
  <c r="P21" i="1" s="1"/>
  <c r="E31" i="28" s="1"/>
  <c r="X19" i="1"/>
  <c r="P20" i="1" s="1"/>
  <c r="E25" i="28" s="1"/>
  <c r="V20" i="1"/>
  <c r="N21" i="1" s="1"/>
  <c r="C31" i="28" s="1"/>
  <c r="W14" i="1"/>
  <c r="Y14" i="1" s="1"/>
  <c r="W20" i="1"/>
  <c r="O21" i="1" s="1"/>
  <c r="D31" i="28" s="1"/>
  <c r="X22" i="1"/>
  <c r="X16" i="1"/>
  <c r="P17" i="1" s="1"/>
  <c r="X17" i="1"/>
  <c r="P18" i="1" s="1"/>
  <c r="E5" i="28" s="1"/>
  <c r="X21" i="1"/>
  <c r="Y23" i="1"/>
  <c r="Y21" i="1"/>
  <c r="Z22" i="1"/>
  <c r="Z21" i="1"/>
  <c r="W22" i="1"/>
  <c r="W21" i="1"/>
  <c r="W23" i="1"/>
  <c r="V22" i="1"/>
  <c r="V23" i="1"/>
  <c r="V21" i="1"/>
  <c r="U17" i="1"/>
  <c r="M18" i="1" s="1"/>
  <c r="B5" i="28" s="1"/>
  <c r="U21" i="1"/>
  <c r="U16" i="1"/>
  <c r="M17" i="1" s="1"/>
  <c r="U22" i="1"/>
  <c r="V18" i="1"/>
  <c r="N19" i="1" s="1"/>
  <c r="C18" i="28" s="1"/>
  <c r="C19" i="28" s="1"/>
  <c r="C20" i="28" s="1"/>
  <c r="V16" i="1"/>
  <c r="N17" i="1" s="1"/>
  <c r="V17" i="1"/>
  <c r="N18" i="1" s="1"/>
  <c r="C5" i="28" s="1"/>
  <c r="W18" i="1"/>
  <c r="O19" i="1" s="1"/>
  <c r="D18" i="28" s="1"/>
  <c r="W17" i="1"/>
  <c r="O18" i="1" s="1"/>
  <c r="Y16" i="1"/>
  <c r="Q17" i="1" s="1"/>
  <c r="Y22" i="1"/>
  <c r="Y17" i="1"/>
  <c r="Z16" i="1"/>
  <c r="Z18" i="1"/>
  <c r="Z17" i="1"/>
  <c r="E23" i="1" l="1"/>
  <c r="U14" i="1"/>
  <c r="D26" i="28"/>
  <c r="D12" i="28"/>
  <c r="O39" i="1"/>
  <c r="V6" i="28"/>
  <c r="AD6" i="1"/>
  <c r="Q19" i="1"/>
  <c r="F18" i="28" s="1"/>
  <c r="F19" i="28" s="1"/>
  <c r="F20" i="28" s="1"/>
  <c r="D19" i="28"/>
  <c r="D20" i="28" s="1"/>
  <c r="E19" i="28"/>
  <c r="E20" i="28" s="1"/>
  <c r="E26" i="28"/>
  <c r="C26" i="28"/>
  <c r="B12" i="28"/>
  <c r="M39" i="1"/>
  <c r="M22" i="1"/>
  <c r="B34" i="28" s="1"/>
  <c r="O22" i="1"/>
  <c r="D34" i="28" s="1"/>
  <c r="D5" i="28"/>
  <c r="C6" i="28"/>
  <c r="C7" i="28" s="1"/>
  <c r="C12" i="28"/>
  <c r="C3" i="28" s="1"/>
  <c r="N22" i="1"/>
  <c r="C34" i="28" s="1"/>
  <c r="E6" i="28"/>
  <c r="E7" i="28" s="1"/>
  <c r="AD8" i="1"/>
  <c r="Q21" i="1"/>
  <c r="F31" i="28" s="1"/>
  <c r="G31" i="28" s="1"/>
  <c r="H31" i="28" s="1"/>
  <c r="I31" i="28" s="1"/>
  <c r="J31" i="28" s="1"/>
  <c r="K31" i="28" s="1"/>
  <c r="F12" i="28"/>
  <c r="G12" i="28" s="1"/>
  <c r="AD5" i="1"/>
  <c r="Q18" i="1"/>
  <c r="F5" i="28" s="1"/>
  <c r="E12" i="28"/>
  <c r="P39" i="1"/>
  <c r="P22" i="1"/>
  <c r="E34" i="28" s="1"/>
  <c r="AD7" i="1"/>
  <c r="Q20" i="1"/>
  <c r="F25" i="28" s="1"/>
  <c r="AB12" i="1"/>
  <c r="X29" i="1"/>
  <c r="W29" i="1"/>
  <c r="V29" i="1"/>
  <c r="Z29" i="1"/>
  <c r="Y13" i="1"/>
  <c r="Y29" i="1"/>
  <c r="AD4" i="1"/>
  <c r="U29" i="1"/>
  <c r="E3" i="28" l="1"/>
  <c r="B20" i="28"/>
  <c r="G19" i="28" s="1"/>
  <c r="F6" i="28"/>
  <c r="F7" i="28" s="1"/>
  <c r="E106" i="28"/>
  <c r="E103" i="28"/>
  <c r="E54" i="28"/>
  <c r="E148" i="28"/>
  <c r="E89" i="28"/>
  <c r="C315" i="28" s="1"/>
  <c r="E109" i="28"/>
  <c r="E29" i="28"/>
  <c r="E23" i="28"/>
  <c r="E32" i="28"/>
  <c r="E10" i="28"/>
  <c r="C148" i="28"/>
  <c r="C89" i="28"/>
  <c r="C109" i="28"/>
  <c r="C103" i="28"/>
  <c r="C106" i="28"/>
  <c r="C54" i="28"/>
  <c r="C29" i="28"/>
  <c r="D13" i="28"/>
  <c r="C23" i="28"/>
  <c r="F26" i="28"/>
  <c r="G25" i="28"/>
  <c r="D3" i="28"/>
  <c r="D36" i="28" s="1"/>
  <c r="D6" i="28"/>
  <c r="D7" i="28" s="1"/>
  <c r="C32" i="28"/>
  <c r="C13" i="28"/>
  <c r="C16" i="28"/>
  <c r="F13" i="28"/>
  <c r="E13" i="28"/>
  <c r="E16" i="28"/>
  <c r="C10" i="28"/>
  <c r="Q22" i="1"/>
  <c r="F34" i="28" s="1"/>
  <c r="F35" i="28" s="1"/>
  <c r="D35" i="28"/>
  <c r="C35" i="28"/>
  <c r="C36" i="28"/>
  <c r="M44" i="1"/>
  <c r="E35" i="28"/>
  <c r="E36" i="28"/>
  <c r="Q39" i="1"/>
  <c r="N39" i="1"/>
  <c r="K34" i="28"/>
  <c r="I34" i="28"/>
  <c r="B3" i="28"/>
  <c r="B16" i="28" s="1"/>
  <c r="AA13" i="1"/>
  <c r="U47" i="28"/>
  <c r="H34" i="28" l="1"/>
  <c r="G34" i="28"/>
  <c r="T34" i="28" s="1"/>
  <c r="B7" i="28"/>
  <c r="V34" i="28"/>
  <c r="D148" i="28"/>
  <c r="D106" i="28"/>
  <c r="D109" i="28"/>
  <c r="D110" i="28" s="1"/>
  <c r="D103" i="28"/>
  <c r="D104" i="28" s="1"/>
  <c r="D54" i="28"/>
  <c r="D53" i="28" s="1"/>
  <c r="D89" i="28"/>
  <c r="D32" i="28"/>
  <c r="D29" i="28"/>
  <c r="D23" i="28"/>
  <c r="H19" i="28"/>
  <c r="I19" i="28"/>
  <c r="G18" i="28"/>
  <c r="J19" i="28"/>
  <c r="K19" i="28"/>
  <c r="V41" i="28"/>
  <c r="B109" i="28"/>
  <c r="C110" i="28" s="1"/>
  <c r="B89" i="28"/>
  <c r="B103" i="28"/>
  <c r="C104" i="28" s="1"/>
  <c r="B148" i="28"/>
  <c r="B106" i="28"/>
  <c r="B184" i="28"/>
  <c r="AC12" i="28"/>
  <c r="B54" i="28"/>
  <c r="C53" i="28" s="1"/>
  <c r="B23" i="28"/>
  <c r="B29" i="28"/>
  <c r="B10" i="28"/>
  <c r="B32" i="28"/>
  <c r="D16" i="28"/>
  <c r="T31" i="28"/>
  <c r="H25" i="28"/>
  <c r="B36" i="28"/>
  <c r="H6" i="28"/>
  <c r="I6" i="28"/>
  <c r="J6" i="28"/>
  <c r="J34" i="28"/>
  <c r="W34" i="28" s="1"/>
  <c r="D10" i="28"/>
  <c r="F3" i="28"/>
  <c r="F109" i="28" s="1"/>
  <c r="E110" i="28" l="1"/>
  <c r="K6" i="28"/>
  <c r="G6" i="28"/>
  <c r="G5" i="28" s="1"/>
  <c r="T18" i="28" s="1"/>
  <c r="U34" i="28"/>
  <c r="U31" i="28"/>
  <c r="I25" i="28"/>
  <c r="T22" i="28"/>
  <c r="H18" i="28"/>
  <c r="E104" i="28"/>
  <c r="X34" i="28"/>
  <c r="H35" i="28"/>
  <c r="J35" i="28"/>
  <c r="K35" i="28"/>
  <c r="G35" i="28"/>
  <c r="I35" i="28"/>
  <c r="G3" i="28"/>
  <c r="G37" i="28" s="1"/>
  <c r="E53" i="28"/>
  <c r="F36" i="28"/>
  <c r="U1" i="28"/>
  <c r="F29" i="28"/>
  <c r="F147" i="28"/>
  <c r="H12" i="28"/>
  <c r="I12" i="28" s="1"/>
  <c r="J12" i="28" s="1"/>
  <c r="F54" i="28"/>
  <c r="F53" i="28" s="1"/>
  <c r="H109" i="28"/>
  <c r="I109" i="28"/>
  <c r="G109" i="28"/>
  <c r="G108" i="28" s="1"/>
  <c r="G116" i="28" s="1"/>
  <c r="F110" i="28"/>
  <c r="J109" i="28"/>
  <c r="K109" i="28"/>
  <c r="V66" i="28"/>
  <c r="V67" i="28" s="1"/>
  <c r="F89" i="28"/>
  <c r="D315" i="28" s="1"/>
  <c r="F106" i="28"/>
  <c r="F10" i="28"/>
  <c r="F103" i="28"/>
  <c r="F23" i="28"/>
  <c r="F32" i="28"/>
  <c r="F16" i="28"/>
  <c r="V35" i="28" l="1"/>
  <c r="H5" i="28"/>
  <c r="G36" i="28"/>
  <c r="G16" i="28"/>
  <c r="T15" i="28"/>
  <c r="G32" i="28"/>
  <c r="G10" i="28"/>
  <c r="G23" i="28"/>
  <c r="G29" i="28"/>
  <c r="I5" i="28"/>
  <c r="U18" i="28"/>
  <c r="I18" i="28"/>
  <c r="I3" i="28" s="1"/>
  <c r="U22" i="28"/>
  <c r="G75" i="28"/>
  <c r="V31" i="28"/>
  <c r="J25" i="28"/>
  <c r="AC1" i="28"/>
  <c r="AC6" i="28" s="1"/>
  <c r="N6" i="28" s="1"/>
  <c r="U53" i="28"/>
  <c r="G53" i="28" s="1"/>
  <c r="J54" i="28"/>
  <c r="I53" i="28"/>
  <c r="I52" i="28" s="1"/>
  <c r="H3" i="28"/>
  <c r="G52" i="28"/>
  <c r="G54" i="28"/>
  <c r="H53" i="28"/>
  <c r="H52" i="28" s="1"/>
  <c r="K54" i="28"/>
  <c r="I54" i="28"/>
  <c r="H54" i="28"/>
  <c r="H108" i="28"/>
  <c r="G106" i="28"/>
  <c r="G105" i="28" s="1"/>
  <c r="G114" i="28" s="1"/>
  <c r="H106" i="28"/>
  <c r="K12" i="28"/>
  <c r="J103" i="28"/>
  <c r="K103" i="28"/>
  <c r="F104" i="28"/>
  <c r="H103" i="28"/>
  <c r="I103" i="28"/>
  <c r="H105" i="28" l="1"/>
  <c r="I105" i="28" s="1"/>
  <c r="J105" i="28" s="1"/>
  <c r="K105" i="28" s="1"/>
  <c r="W31" i="28"/>
  <c r="K25" i="28"/>
  <c r="X31" i="28" s="1"/>
  <c r="V32" i="28" s="1"/>
  <c r="V22" i="28"/>
  <c r="J18" i="28"/>
  <c r="K53" i="28"/>
  <c r="K52" i="28" s="1"/>
  <c r="J5" i="28"/>
  <c r="V18" i="28"/>
  <c r="U102" i="28"/>
  <c r="G102" i="28"/>
  <c r="G51" i="28"/>
  <c r="G48" i="28" s="1"/>
  <c r="G89" i="28" s="1"/>
  <c r="I23" i="28"/>
  <c r="V15" i="28"/>
  <c r="I75" i="28"/>
  <c r="H29" i="28"/>
  <c r="H75" i="28"/>
  <c r="U15" i="28"/>
  <c r="J53" i="28"/>
  <c r="J52" i="28" s="1"/>
  <c r="I32" i="28"/>
  <c r="I36" i="28"/>
  <c r="I10" i="28"/>
  <c r="AE1" i="28"/>
  <c r="I16" i="28"/>
  <c r="I29" i="28"/>
  <c r="I51" i="28"/>
  <c r="I48" i="28" s="1"/>
  <c r="I89" i="28" s="1"/>
  <c r="H16" i="28"/>
  <c r="H10" i="28"/>
  <c r="AD1" i="28"/>
  <c r="H32" i="28"/>
  <c r="H23" i="28"/>
  <c r="H36" i="28"/>
  <c r="H51" i="28"/>
  <c r="H48" i="28" s="1"/>
  <c r="H89" i="28" s="1"/>
  <c r="H114" i="28"/>
  <c r="G103" i="28"/>
  <c r="I108" i="28"/>
  <c r="H116" i="28"/>
  <c r="H102" i="28" l="1"/>
  <c r="G112" i="28"/>
  <c r="W18" i="28"/>
  <c r="K5" i="28"/>
  <c r="J3" i="28"/>
  <c r="J10" i="28" s="1"/>
  <c r="K18" i="28"/>
  <c r="X22" i="28" s="1"/>
  <c r="W22" i="28"/>
  <c r="V23" i="28" s="1"/>
  <c r="N2" i="28"/>
  <c r="E315" i="28"/>
  <c r="T94" i="28"/>
  <c r="G90" i="28"/>
  <c r="B9" i="31"/>
  <c r="B11" i="31" s="1"/>
  <c r="B12" i="31" s="1"/>
  <c r="C13" i="31" s="1"/>
  <c r="C15" i="31" s="1"/>
  <c r="P2" i="28"/>
  <c r="V94" i="28"/>
  <c r="G315" i="28"/>
  <c r="AD6" i="28"/>
  <c r="O6" i="28" s="1"/>
  <c r="O2" i="28"/>
  <c r="F315" i="28"/>
  <c r="U94" i="28"/>
  <c r="J114" i="28"/>
  <c r="AE6" i="28"/>
  <c r="P6" i="28" s="1"/>
  <c r="I114" i="28"/>
  <c r="I90" i="28"/>
  <c r="H90" i="28"/>
  <c r="K114" i="28"/>
  <c r="H112" i="28"/>
  <c r="J108" i="28"/>
  <c r="I116" i="28"/>
  <c r="J51" i="28" l="1"/>
  <c r="J48" i="28" s="1"/>
  <c r="J89" i="28" s="1"/>
  <c r="J32" i="28"/>
  <c r="W15" i="28"/>
  <c r="J75" i="28"/>
  <c r="J16" i="28"/>
  <c r="J29" i="28"/>
  <c r="J23" i="28"/>
  <c r="AF1" i="28"/>
  <c r="AF6" i="28" s="1"/>
  <c r="Q6" i="28" s="1"/>
  <c r="J36" i="28"/>
  <c r="X18" i="28"/>
  <c r="V17" i="28" s="1"/>
  <c r="K3" i="28"/>
  <c r="K108" i="28"/>
  <c r="K116" i="28" s="1"/>
  <c r="J116" i="28"/>
  <c r="I102" i="28"/>
  <c r="I112" i="28" s="1"/>
  <c r="Q2" i="28" l="1"/>
  <c r="H315" i="28"/>
  <c r="J90" i="28"/>
  <c r="W94" i="28"/>
  <c r="K32" i="28"/>
  <c r="X15" i="28"/>
  <c r="V16" i="28" s="1"/>
  <c r="AG1" i="28"/>
  <c r="AG6" i="28" s="1"/>
  <c r="R6" i="28" s="1"/>
  <c r="K36" i="28"/>
  <c r="K23" i="28"/>
  <c r="K75" i="28"/>
  <c r="K51" i="28"/>
  <c r="K48" i="28" s="1"/>
  <c r="K89" i="28" s="1"/>
  <c r="K16" i="28"/>
  <c r="K29" i="28"/>
  <c r="K10" i="28"/>
  <c r="J102" i="28"/>
  <c r="X94" i="28" l="1"/>
  <c r="V95" i="28" s="1"/>
  <c r="K90" i="28"/>
  <c r="R2" i="28"/>
  <c r="I315" i="28"/>
  <c r="K102" i="28"/>
  <c r="K112" i="28" s="1"/>
  <c r="J112" i="28"/>
  <c r="F126" i="28"/>
  <c r="J120" i="28"/>
  <c r="J126" i="28" s="1"/>
  <c r="G120" i="28"/>
  <c r="G126" i="28" s="1"/>
  <c r="N7" i="28" s="1"/>
  <c r="I120" i="28"/>
  <c r="I126" i="28" s="1"/>
  <c r="K120" i="28"/>
  <c r="H120" i="28"/>
  <c r="H126" i="28" s="1"/>
  <c r="K126" i="28" l="1"/>
  <c r="G173" i="28"/>
  <c r="G175" i="28"/>
  <c r="N11" i="28"/>
  <c r="P7" i="28"/>
  <c r="I185" i="28"/>
  <c r="I188" i="28" s="1"/>
  <c r="J128" i="28"/>
  <c r="R5" i="28"/>
  <c r="K128" i="28"/>
  <c r="G128" i="28"/>
  <c r="I128" i="28"/>
  <c r="H128" i="28"/>
  <c r="N5" i="28"/>
  <c r="H185" i="28"/>
  <c r="H188" i="28" s="1"/>
  <c r="O7" i="28"/>
  <c r="H173" i="28" s="1"/>
  <c r="O5" i="28"/>
  <c r="Q5" i="28"/>
  <c r="J185" i="28"/>
  <c r="J188" i="28" s="1"/>
  <c r="Q7" i="28"/>
  <c r="J173" i="28" s="1"/>
  <c r="P5" i="28"/>
  <c r="G185" i="28"/>
  <c r="K185" i="28"/>
  <c r="K173" i="28" l="1"/>
  <c r="M17" i="28"/>
  <c r="M18" i="28" s="1"/>
  <c r="G174" i="28" s="1"/>
  <c r="I175" i="28"/>
  <c r="I173" i="28"/>
  <c r="P11" i="28"/>
  <c r="J134" i="28"/>
  <c r="K188" i="28"/>
  <c r="T173" i="28"/>
  <c r="T176" i="28" s="1"/>
  <c r="H175" i="28"/>
  <c r="O11" i="28"/>
  <c r="J175" i="28"/>
  <c r="Q11" i="28"/>
  <c r="J174" i="28" l="1"/>
  <c r="K175" i="28"/>
  <c r="G176" i="28" s="1"/>
  <c r="G178" i="28" s="1"/>
  <c r="G189" i="28" s="1"/>
  <c r="G191" i="28" s="1"/>
  <c r="N10" i="28"/>
  <c r="R11" i="28" l="1"/>
  <c r="N12" i="28" s="1"/>
  <c r="N14" i="28" s="1"/>
  <c r="M8" i="31"/>
  <c r="N8" i="3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tc={9FDF3D92-ADED-4424-83A1-CC065E8475DF}</author>
    <author>tc={630AD8F4-69F0-4B64-B41D-25DC307AE7FF}</author>
  </authors>
  <commentList>
    <comment ref="K32" authorId="0" shapeId="0" xr:uid="{9FDF3D92-ADED-4424-83A1-CC065E8475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Lao gdoan 1 
</t>
      </text>
    </comment>
    <comment ref="O32" authorId="1" shapeId="0" xr:uid="{630AD8F4-69F0-4B64-B41D-25DC307AE7FF}">
      <text>
        <t>[Threaded comment]
Your version of Excel allows you to read this threaded comment; however, any edits to it will get removed if the file is opened in a newer version of Excel. Learn more: https://go.microsoft.com/fwlink/?linkid=870924
Comment:
    Lao gd 2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<sst xmlns="http://schemas.openxmlformats.org/spreadsheetml/2006/main" count="11055" uniqueCount="2020">
  <si>
    <t>VND billion</t>
  </si>
  <si>
    <t>HISTORICAL</t>
  </si>
  <si>
    <t>FORECAST</t>
  </si>
  <si>
    <t>Year</t>
  </si>
  <si>
    <t>2023F</t>
  </si>
  <si>
    <t>2024F</t>
  </si>
  <si>
    <t>2025F</t>
  </si>
  <si>
    <t>2026F</t>
  </si>
  <si>
    <t>2027F</t>
  </si>
  <si>
    <t>Total revenue</t>
  </si>
  <si>
    <t>Total Debt</t>
  </si>
  <si>
    <t>AAGR</t>
  </si>
  <si>
    <t>Sector growth rate</t>
  </si>
  <si>
    <t>Revenue</t>
  </si>
  <si>
    <t>Growth</t>
  </si>
  <si>
    <t>Reasons</t>
  </si>
  <si>
    <t xml:space="preserve">Average </t>
  </si>
  <si>
    <t>Market share Growth</t>
  </si>
  <si>
    <t>làm tốt và expand sữa tuoi vs bớt phụ thuộc vào và cạnh tranh thị phần</t>
  </si>
  <si>
    <t xml:space="preserve">Productivity </t>
  </si>
  <si>
    <t xml:space="preserve">Sector growth </t>
  </si>
  <si>
    <t>% Total Revenue</t>
  </si>
  <si>
    <t>Avg MS change</t>
  </si>
  <si>
    <t xml:space="preserve"> </t>
  </si>
  <si>
    <t>%</t>
  </si>
  <si>
    <t>Scale</t>
  </si>
  <si>
    <t xml:space="preserve">giá nguyên liệu giảm nhưng với xu hướng mới và sự đần mất thị phần </t>
  </si>
  <si>
    <t>Euromoni</t>
  </si>
  <si>
    <t>Drinking milk</t>
  </si>
  <si>
    <t>Subsidiaries</t>
  </si>
  <si>
    <t>Sua</t>
  </si>
  <si>
    <t>Total</t>
  </si>
  <si>
    <t>COGS (including D&amp;A)</t>
  </si>
  <si>
    <t>Gross profit (including D&amp;A)</t>
  </si>
  <si>
    <t>Gross margin % (including D&amp;A)</t>
  </si>
  <si>
    <t>COGS's D&amp;A</t>
  </si>
  <si>
    <t>Gross margin % (excluding D&amp;A)</t>
  </si>
  <si>
    <t>COST BREAKDOWN</t>
  </si>
  <si>
    <t>COGS</t>
  </si>
  <si>
    <t xml:space="preserve">Fed sẽ giảm lãi suất vao 2024 </t>
  </si>
  <si>
    <t>https://institutional.vanguard.com/insights-and-research/perspective/we-likely-wont-see-fed-rate-cuts-until-2024.html</t>
  </si>
  <si>
    <t>Q3</t>
  </si>
  <si>
    <t>Changes</t>
  </si>
  <si>
    <t>%Revenue growth</t>
  </si>
  <si>
    <t xml:space="preserve">% Revenue </t>
  </si>
  <si>
    <t>plan 5 year domes tic of china</t>
  </si>
  <si>
    <t>SMP</t>
  </si>
  <si>
    <t>kbs</t>
  </si>
  <si>
    <t>SMP grwoth</t>
  </si>
  <si>
    <t>Financial income</t>
  </si>
  <si>
    <t>cogs</t>
  </si>
  <si>
    <t>FI</t>
  </si>
  <si>
    <t>financial income</t>
  </si>
  <si>
    <t>financial exp</t>
  </si>
  <si>
    <t>selling ex</t>
  </si>
  <si>
    <t>Financial expenses</t>
  </si>
  <si>
    <t>ga</t>
  </si>
  <si>
    <t>FE</t>
  </si>
  <si>
    <t>other inc</t>
  </si>
  <si>
    <t>other ex</t>
  </si>
  <si>
    <t>income tax</t>
  </si>
  <si>
    <t>On borrowings</t>
  </si>
  <si>
    <t>On deposit received</t>
  </si>
  <si>
    <t xml:space="preserve">gima lai saut </t>
  </si>
  <si>
    <t>SG&amp;A</t>
  </si>
  <si>
    <t>G&amp;A</t>
  </si>
  <si>
    <t>Selling</t>
  </si>
  <si>
    <t>13,447,492,622,165 1</t>
  </si>
  <si>
    <t>Loại bỏ dịch</t>
  </si>
  <si>
    <t>AVERAGE</t>
  </si>
  <si>
    <t>Other income</t>
  </si>
  <si>
    <t>OI</t>
  </si>
  <si>
    <t>Other expense</t>
  </si>
  <si>
    <t>OE</t>
  </si>
  <si>
    <t>Income tax</t>
  </si>
  <si>
    <t>IT</t>
  </si>
  <si>
    <t>NET INCOME</t>
  </si>
  <si>
    <t>% Revenue</t>
  </si>
  <si>
    <t>Depreciation</t>
  </si>
  <si>
    <t>Amortization</t>
  </si>
  <si>
    <t>Accounts Receivable - Trade, Net</t>
  </si>
  <si>
    <t>Total Inventory</t>
  </si>
  <si>
    <t>Accounts Payable</t>
  </si>
  <si>
    <t>Changes A/R</t>
  </si>
  <si>
    <t>Changes Inventory</t>
  </si>
  <si>
    <t>Changes A/P</t>
  </si>
  <si>
    <t>Other Assets</t>
  </si>
  <si>
    <t>Prepaid Expenses</t>
  </si>
  <si>
    <t>Other OCF</t>
  </si>
  <si>
    <t>--</t>
  </si>
  <si>
    <t>NET WORKING CAPITAL</t>
  </si>
  <si>
    <t>Avg. A/R Days</t>
  </si>
  <si>
    <t>1Y Growth</t>
  </si>
  <si>
    <t>Inv Turnover</t>
  </si>
  <si>
    <t>(1.3%) </t>
  </si>
  <si>
    <t>(6.7%) </t>
  </si>
  <si>
    <t>(3.3%) </t>
  </si>
  <si>
    <t>14.2% </t>
  </si>
  <si>
    <t>(8.2%) </t>
  </si>
  <si>
    <t>Avg. Inventory Days</t>
  </si>
  <si>
    <t>Avg. A/P Days</t>
  </si>
  <si>
    <t>A/R</t>
  </si>
  <si>
    <t>Net income</t>
  </si>
  <si>
    <t>CAPEX</t>
  </si>
  <si>
    <t>D/A</t>
  </si>
  <si>
    <t>Terminal Value</t>
  </si>
  <si>
    <t>NWC</t>
  </si>
  <si>
    <t>Net borrowings</t>
  </si>
  <si>
    <t>FCFE</t>
  </si>
  <si>
    <t>Cost of equity</t>
  </si>
  <si>
    <t>Terminal growth</t>
  </si>
  <si>
    <t>Terminal value</t>
  </si>
  <si>
    <t>Outstanding shares</t>
  </si>
  <si>
    <t>Share Price</t>
  </si>
  <si>
    <t>DCF</t>
  </si>
  <si>
    <t>Equity value</t>
  </si>
  <si>
    <t>Shares</t>
  </si>
  <si>
    <t>Share price</t>
  </si>
  <si>
    <t>fcfeF</t>
  </si>
  <si>
    <t>cost of equity</t>
  </si>
  <si>
    <t>terminal growth rate</t>
  </si>
  <si>
    <t>Discounted</t>
  </si>
  <si>
    <t>Sum of DCF</t>
  </si>
  <si>
    <t>shares (billions)</t>
  </si>
  <si>
    <t>Value per share</t>
  </si>
  <si>
    <t>Changes in Working Capital</t>
  </si>
  <si>
    <t>Accounts Receivable</t>
  </si>
  <si>
    <t>Inventories</t>
  </si>
  <si>
    <t>Labor</t>
  </si>
  <si>
    <t>D&amp;A</t>
  </si>
  <si>
    <t>Others</t>
  </si>
  <si>
    <t>Cost of Revenue, Total</t>
  </si>
  <si>
    <t>COST BREAKDOWN (%)</t>
  </si>
  <si>
    <t>Raw materials</t>
  </si>
  <si>
    <t>%raw materials in COGS</t>
  </si>
  <si>
    <t>COGS growth</t>
  </si>
  <si>
    <t>Revenue Growth</t>
  </si>
  <si>
    <t>Revenue Growth attributable to volume</t>
  </si>
  <si>
    <t>Revenue Growth attributable to price</t>
  </si>
  <si>
    <t>Change in COGS attributable to price</t>
  </si>
  <si>
    <t>GM's Sensititivity to material price</t>
  </si>
  <si>
    <t>Increase in material prices</t>
  </si>
  <si>
    <t>Raw material as % of revenue</t>
  </si>
  <si>
    <t>Change in gross margin</t>
  </si>
  <si>
    <t>Average volume sold (ton)</t>
  </si>
  <si>
    <t>Condensed milk</t>
  </si>
  <si>
    <t>Liquid milk</t>
  </si>
  <si>
    <t>Powdered milk</t>
  </si>
  <si>
    <t>Yoghurt</t>
  </si>
  <si>
    <t>Beverages</t>
  </si>
  <si>
    <t>Export</t>
  </si>
  <si>
    <t>Export - powder</t>
  </si>
  <si>
    <t>Export - liquid</t>
  </si>
  <si>
    <t>Production capacity</t>
  </si>
  <si>
    <t>Maximum capacity (000 lit)</t>
  </si>
  <si>
    <t>Running capacity (000 lit)</t>
  </si>
  <si>
    <t>Running capacity</t>
  </si>
  <si>
    <t>Maximum capacity (ton)</t>
  </si>
  <si>
    <t>Running capacity (ton)</t>
  </si>
  <si>
    <t>In which: Price growth</t>
  </si>
  <si>
    <t>In which: Volume growth</t>
  </si>
  <si>
    <t>Yogurt</t>
  </si>
  <si>
    <t>Exports</t>
  </si>
  <si>
    <t>Margin Estimate</t>
  </si>
  <si>
    <t>2014 COSG</t>
  </si>
  <si>
    <t>Absolute</t>
  </si>
  <si>
    <t>Relative to Revenue</t>
  </si>
  <si>
    <t>Margin</t>
  </si>
  <si>
    <t>NPM</t>
  </si>
  <si>
    <t>sf</t>
  </si>
  <si>
    <t>us/sf</t>
  </si>
  <si>
    <t>Market share of VNM in each sector</t>
  </si>
  <si>
    <t>Revenue by sector of VNM</t>
  </si>
  <si>
    <t>Geography</t>
  </si>
  <si>
    <t>Category</t>
  </si>
  <si>
    <t>Unit</t>
  </si>
  <si>
    <t>Rvenue by sector of VNM</t>
  </si>
  <si>
    <t>Vietnam</t>
  </si>
  <si>
    <t>Dairy Products and Alternatives</t>
  </si>
  <si>
    <t>Baby Food</t>
  </si>
  <si>
    <t>Drinking Milk Products</t>
  </si>
  <si>
    <t>Dairy</t>
  </si>
  <si>
    <t>Yoghurt and Sour Milk Products</t>
  </si>
  <si>
    <t>Plant-based and other dairy</t>
  </si>
  <si>
    <t>Butter and Spreads</t>
  </si>
  <si>
    <t>Other dairy</t>
  </si>
  <si>
    <t>Force zero</t>
  </si>
  <si>
    <t>Cheese</t>
  </si>
  <si>
    <t>Sum</t>
  </si>
  <si>
    <t>CAGR: 5.92%</t>
  </si>
  <si>
    <t>y</t>
  </si>
  <si>
    <t>Other dairies</t>
  </si>
  <si>
    <t>CAGR</t>
  </si>
  <si>
    <t>Line diss</t>
  </si>
  <si>
    <t>x</t>
  </si>
  <si>
    <t>Other Dairy</t>
  </si>
  <si>
    <t>Slope</t>
  </si>
  <si>
    <t>Plant-based Dairy</t>
  </si>
  <si>
    <t>Plant-based Milk</t>
  </si>
  <si>
    <t>Soy Drinks</t>
  </si>
  <si>
    <t>Other Plant-based Milk</t>
  </si>
  <si>
    <t>Plant-based Yoghurt</t>
  </si>
  <si>
    <t>-</t>
  </si>
  <si>
    <t>Plant-based Cheese</t>
  </si>
  <si>
    <t>Foreign</t>
  </si>
  <si>
    <t>Vinamilk</t>
  </si>
  <si>
    <t>Vietnam Dairy Products JSC | Segments                                07-Dec-2023 23:51</t>
  </si>
  <si>
    <t>Segments</t>
  </si>
  <si>
    <t xml:space="preserve">Annual Geographic by Segment in Millions of Vietnamese Dong </t>
  </si>
  <si>
    <t>Period End Date</t>
  </si>
  <si>
    <t>31-Dec-2020 </t>
  </si>
  <si>
    <t>31-Dec-2021 </t>
  </si>
  <si>
    <t>31-Dec-2022 </t>
  </si>
  <si>
    <r>
      <t>Domestic</t>
    </r>
    <r>
      <rPr>
        <sz val="11"/>
        <color theme="1"/>
        <rFont val="Calibri"/>
        <family val="2"/>
        <scheme val="minor"/>
      </rPr>
      <t xml:space="preserve">     Ctry/Region: AS </t>
    </r>
  </si>
  <si>
    <t>Domestic</t>
  </si>
  <si>
    <t>SUMMARY OUTPUT</t>
  </si>
  <si>
    <t>External Revenue</t>
  </si>
  <si>
    <t>Total Revenue</t>
  </si>
  <si>
    <t>Regression Statistics</t>
  </si>
  <si>
    <t>Cost of Revenue</t>
  </si>
  <si>
    <t>Multiple R</t>
  </si>
  <si>
    <t>Gross Profit</t>
  </si>
  <si>
    <t>R Square</t>
  </si>
  <si>
    <t>Gross Margin (%)</t>
  </si>
  <si>
    <t>Adjusted R Square</t>
  </si>
  <si>
    <r>
      <t>Foreign</t>
    </r>
    <r>
      <rPr>
        <sz val="11"/>
        <color theme="1"/>
        <rFont val="Calibri"/>
        <family val="2"/>
        <scheme val="minor"/>
      </rPr>
      <t xml:space="preserve">     Ctry/Region: OTHERS </t>
    </r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</si>
  <si>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</si>
  <si>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</si>
  <si>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</si>
  <si>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</si>
  <si>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</si>
  <si>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</si>
  <si>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</si>
  <si>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</si>
  <si>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</si>
  <si>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r>
      <t>Consolidated Total</t>
    </r>
    <r>
      <rPr>
        <sz val="11"/>
        <color theme="1"/>
        <rFont val="Calibri"/>
        <family val="2"/>
        <scheme val="minor"/>
      </rPr>
      <t xml:space="preserve">      </t>
    </r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</si>
  <si>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</si>
  <si>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</si>
  <si>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</si>
  <si>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</si>
  <si>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</si>
  <si>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</si>
  <si>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</si>
  <si>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</si>
  <si>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</si>
  <si>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Comparable firms</t>
  </si>
  <si>
    <t>Forward P/E</t>
  </si>
  <si>
    <t>Morinaga Milk Industry Co Ltd</t>
  </si>
  <si>
    <t>eps</t>
  </si>
  <si>
    <t>Hatsun Agro Product Ltd</t>
  </si>
  <si>
    <t>Yakult Honsha Co Ltd</t>
  </si>
  <si>
    <t>Bright Dairy &amp; Food Co Ltd</t>
  </si>
  <si>
    <t>China Feihe Ltd</t>
  </si>
  <si>
    <t>Industry Median</t>
  </si>
  <si>
    <t>p/e</t>
  </si>
  <si>
    <t>EPS</t>
  </si>
  <si>
    <t>Price</t>
  </si>
  <si>
    <t>Assets (VND Millions)</t>
  </si>
  <si>
    <t>Cash and Short Term Investments</t>
  </si>
  <si>
    <t>Market cap</t>
  </si>
  <si>
    <t>USD</t>
  </si>
  <si>
    <t>Bright</t>
  </si>
  <si>
    <t>CNY</t>
  </si>
  <si>
    <t>Feihe</t>
  </si>
  <si>
    <t>Yakult</t>
  </si>
  <si>
    <t>JPY</t>
  </si>
  <si>
    <t>Hatsun</t>
  </si>
  <si>
    <t>INR</t>
  </si>
  <si>
    <t>Morinaga</t>
  </si>
  <si>
    <t>Gross Profit Margin</t>
  </si>
  <si>
    <t>Vietnam Dairy Products JSC</t>
  </si>
  <si>
    <t>27.6% </t>
  </si>
  <si>
    <t>29.3% </t>
  </si>
  <si>
    <t>33.2% </t>
  </si>
  <si>
    <t>Operating Margin</t>
  </si>
  <si>
    <t>Asset turrnover</t>
  </si>
  <si>
    <t>GPM</t>
  </si>
  <si>
    <t>OPM</t>
  </si>
  <si>
    <t>Companies</t>
  </si>
  <si>
    <t>Market Cap</t>
  </si>
  <si>
    <t>Fixed asset turnover</t>
  </si>
  <si>
    <t>Invt turrnover</t>
  </si>
  <si>
    <t>0,000041</t>
  </si>
  <si>
    <t>Financial expense</t>
  </si>
  <si>
    <t>AR</t>
  </si>
  <si>
    <t>D/E</t>
  </si>
  <si>
    <t>Current ratio</t>
  </si>
  <si>
    <t>Quick ratio</t>
  </si>
  <si>
    <t>Selling/General/Administrative Expense</t>
  </si>
  <si>
    <t>Labor &amp; Related Expense</t>
  </si>
  <si>
    <t>Advertising Expense</t>
  </si>
  <si>
    <t>Interest Expense</t>
  </si>
  <si>
    <t>Inventories - Finished Goods</t>
  </si>
  <si>
    <t>Inventories - Work In Progress</t>
  </si>
  <si>
    <t>Inventories - Raw Materials</t>
  </si>
  <si>
    <t>Inventories - Other</t>
  </si>
  <si>
    <t>A/T</t>
  </si>
  <si>
    <t>Fixed A/T</t>
  </si>
  <si>
    <t>Selling/General/Admin. Expenses, Total</t>
  </si>
  <si>
    <t>Research &amp; Development</t>
  </si>
  <si>
    <t>Depreciation/Amortization</t>
  </si>
  <si>
    <t>Amortization of Acquisition Costs</t>
  </si>
  <si>
    <t>Interest Expense, Net - Operating</t>
  </si>
  <si>
    <t>Interest Expense - Operating</t>
  </si>
  <si>
    <t>Short-term borrowings</t>
  </si>
  <si>
    <t>Leverage</t>
  </si>
  <si>
    <t>ROE</t>
  </si>
  <si>
    <t xml:space="preserve">WMP </t>
  </si>
  <si>
    <t>Asset turnover</t>
  </si>
  <si>
    <t>Vietnam Dairy Products JSC | Cash Flow                                13-Dec-2023 11:31</t>
  </si>
  <si>
    <t>Cash Flow</t>
  </si>
  <si>
    <t>Annual Standardised in Billions of Vietnamese Dong</t>
  </si>
  <si>
    <t>Earnings Quality Score</t>
  </si>
  <si>
    <t>97 </t>
  </si>
  <si>
    <t>82 </t>
  </si>
  <si>
    <t>96 </t>
  </si>
  <si>
    <t>94 </t>
  </si>
  <si>
    <t>100 </t>
  </si>
  <si>
    <t>68 </t>
  </si>
  <si>
    <t>78 </t>
  </si>
  <si>
    <t>86 </t>
  </si>
  <si>
    <t>98 </t>
  </si>
  <si>
    <t>31-Dec-2013 </t>
  </si>
  <si>
    <t>31-Dec-2014 </t>
  </si>
  <si>
    <t>31-Dec-2015 </t>
  </si>
  <si>
    <t>31-Dec-2016 </t>
  </si>
  <si>
    <t>31-Dec-2017 </t>
  </si>
  <si>
    <t>31-Dec-2018 </t>
  </si>
  <si>
    <t>31-Dec-2019 </t>
  </si>
  <si>
    <t>Cash Flow-Operating Activities (VND Billions)</t>
  </si>
  <si>
    <t>Net Income/Starting Line</t>
  </si>
  <si>
    <t>Depreciation/Depletion</t>
  </si>
  <si>
    <t>Amortization of Intangibles</t>
  </si>
  <si>
    <t>Deferred Taxes</t>
  </si>
  <si>
    <t>Non-Cash Items</t>
  </si>
  <si>
    <t>Unusual Items</t>
  </si>
  <si>
    <t>Other Non-Cash Items</t>
  </si>
  <si>
    <t>Other Operating Cash Flow</t>
  </si>
  <si>
    <t>Cash from Operating Activities</t>
  </si>
  <si>
    <t>Cash Flow-Investing Activities (VND Billions)</t>
  </si>
  <si>
    <t>Capital Expenditures</t>
  </si>
  <si>
    <t xml:space="preserve">  </t>
  </si>
  <si>
    <t>tay ninh</t>
  </si>
  <si>
    <t>song hau</t>
  </si>
  <si>
    <t>https://thanhnien.vn/trang-trai-bo-sua-doc-lap-lon-nhat-viet-nam-tai-tay-ninh-mo-rong-quy-mo-185230323171705149.htm</t>
  </si>
  <si>
    <t>5000 từ viliaco</t>
  </si>
  <si>
    <t>https://vietnamagriculture.nongnghiep.vn/commencing-the-complex-of-moc-chau-paradise-for-4000-dairy-cows-in-son-la-d324110.html</t>
  </si>
  <si>
    <t>2000 từ moc chau</t>
  </si>
  <si>
    <t>Purchase of Fixed Assets</t>
  </si>
  <si>
    <t>Other Investing Cash Flow Items, Total</t>
  </si>
  <si>
    <t>Sale of Fixed Assets</t>
  </si>
  <si>
    <t>Sale/Maturity of Investment</t>
  </si>
  <si>
    <t>Tay Ninh</t>
  </si>
  <si>
    <t>Investment, Net</t>
  </si>
  <si>
    <t>Villaco</t>
  </si>
  <si>
    <t>Purchase of Investments</t>
  </si>
  <si>
    <t>Moc chau</t>
  </si>
  <si>
    <t>Other Investing Cash Flow</t>
  </si>
  <si>
    <t>Cash from Investing Activities</t>
  </si>
  <si>
    <t>Cash Flow-Financing Activities (VND Billions)</t>
  </si>
  <si>
    <t>Financing Cash Flow Items</t>
  </si>
  <si>
    <t>Other Financing Cash Flow</t>
  </si>
  <si>
    <t>Total Cash Dividends Paid</t>
  </si>
  <si>
    <t>Cash Dividends Paid - Common</t>
  </si>
  <si>
    <t>Issuance (Retirement) of Stock, Net</t>
  </si>
  <si>
    <t>Sale/Issuance of Common</t>
  </si>
  <si>
    <t>Repurchase/Retirement of Common</t>
  </si>
  <si>
    <t>Common Stock, Net</t>
  </si>
  <si>
    <t>Issuance (Retirement) of Debt, Net</t>
  </si>
  <si>
    <t>Total Debt Issued</t>
  </si>
  <si>
    <t>Total Debt Reduction</t>
  </si>
  <si>
    <t>Cash from Financing Activities</t>
  </si>
  <si>
    <t>Foreign Exchange Effects</t>
  </si>
  <si>
    <t>Net Change in Cash</t>
  </si>
  <si>
    <t>Net Cash - Beginning Balance</t>
  </si>
  <si>
    <t>Net Cash - Ending Balance</t>
  </si>
  <si>
    <t>Cash Interest Paid</t>
  </si>
  <si>
    <t>Cash Taxes Paid</t>
  </si>
  <si>
    <t>Lease liability Issued, Supplemental</t>
  </si>
  <si>
    <t>Lease liability Reduced, Supplemental</t>
  </si>
  <si>
    <t>Lease liability Net, Supplemental</t>
  </si>
  <si>
    <t>Share Based Payments, Supplemental</t>
  </si>
  <si>
    <t>Tax Payments - Employee Options&amp;Buy Back</t>
  </si>
  <si>
    <t>Net Changes in Working Capital</t>
  </si>
  <si>
    <t>Reported Cash from Operating Activities</t>
  </si>
  <si>
    <t>Reported Cash from Investing Activities</t>
  </si>
  <si>
    <t>Reported Cash from Financing Activities</t>
  </si>
  <si>
    <t>Free Cash Flow</t>
  </si>
  <si>
    <t>Vietnam Dairy Products JSC | Balance Sheet                                10-Dec-2023 11:54</t>
  </si>
  <si>
    <t>Balance Sheet</t>
  </si>
  <si>
    <t>Industry - Annual Standardised in Millions of Vietnamese Dong</t>
  </si>
  <si>
    <t>Update Type</t>
  </si>
  <si>
    <t>Updated </t>
  </si>
  <si>
    <t>Period Length</t>
  </si>
  <si>
    <t>12 Months </t>
  </si>
  <si>
    <t>Statement Date</t>
  </si>
  <si>
    <t>Reporting Unit</t>
  </si>
  <si>
    <t>Thousands </t>
  </si>
  <si>
    <t>Update Date</t>
  </si>
  <si>
    <t>20-Apr-2023 </t>
  </si>
  <si>
    <t>01-Nov-2023 </t>
  </si>
  <si>
    <t>05-Dec-2023 </t>
  </si>
  <si>
    <t>Reporting Currency</t>
  </si>
  <si>
    <t>Vietnamese Dong </t>
  </si>
  <si>
    <t>19-Nov-2020 </t>
  </si>
  <si>
    <t>Source</t>
  </si>
  <si>
    <t>ARS </t>
  </si>
  <si>
    <t>Source Date</t>
  </si>
  <si>
    <t>04-Mar-2019 </t>
  </si>
  <si>
    <t>03-Mar-2020 </t>
  </si>
  <si>
    <t>01-Mar-2021 </t>
  </si>
  <si>
    <t>10-Mar-2022 </t>
  </si>
  <si>
    <t>17-Apr-2023 </t>
  </si>
  <si>
    <t>Original Announcement Date</t>
  </si>
  <si>
    <t>30-Jan-2019 19:48 </t>
  </si>
  <si>
    <t>30-Jan-2020 18:53 </t>
  </si>
  <si>
    <t>01-Feb-2021 19:18 </t>
  </si>
  <si>
    <t>28-Jan-2022 11:55 </t>
  </si>
  <si>
    <t>09-Feb-2023 04:54 </t>
  </si>
  <si>
    <t>Complete Statement</t>
  </si>
  <si>
    <t>Complete </t>
  </si>
  <si>
    <t>Flash Update</t>
  </si>
  <si>
    <t>No </t>
  </si>
  <si>
    <t>Consolidated</t>
  </si>
  <si>
    <t>Yes </t>
  </si>
  <si>
    <t>Auditor Name</t>
  </si>
  <si>
    <t>KPMG </t>
  </si>
  <si>
    <t>Auditor Opinion</t>
  </si>
  <si>
    <t>Unqualified </t>
  </si>
  <si>
    <t>Accounting Standard</t>
  </si>
  <si>
    <t>Vietnamese Accounting Standards </t>
  </si>
  <si>
    <t>Gross Revenue</t>
  </si>
  <si>
    <t>Cash</t>
  </si>
  <si>
    <t>Sales Returns and Allowances</t>
  </si>
  <si>
    <t>Cash &amp; Equivalents</t>
  </si>
  <si>
    <t>Other Revenue, Total</t>
  </si>
  <si>
    <t>Short Term Investments</t>
  </si>
  <si>
    <t>Accounts Receivable - Trade, Gross</t>
  </si>
  <si>
    <t>Provision for Doubtful Accounts</t>
  </si>
  <si>
    <t>Total Receivables, Net</t>
  </si>
  <si>
    <t>Notes Receivable - Short Term</t>
  </si>
  <si>
    <t>Receivables - Other</t>
  </si>
  <si>
    <t>Other Current Assets, Total</t>
  </si>
  <si>
    <t>Total Current Assets</t>
  </si>
  <si>
    <t>Property/Plant/Equipment, Total - Gross</t>
  </si>
  <si>
    <t>Buildings - Gross</t>
  </si>
  <si>
    <t>Machinery/Equipment - Gross</t>
  </si>
  <si>
    <t>Interest/Investment Income - Operating</t>
  </si>
  <si>
    <t>Construction in Progress - Gross</t>
  </si>
  <si>
    <t>Interest Income - Operating</t>
  </si>
  <si>
    <t>Natural Resources - Gross</t>
  </si>
  <si>
    <t>Investment Income - Operating</t>
  </si>
  <si>
    <t>Other Property/Plant/Equipment - Gross</t>
  </si>
  <si>
    <t>Interest Expense(Income) - Net Operating</t>
  </si>
  <si>
    <t>Property/Plant/Equipment, Total - Net</t>
  </si>
  <si>
    <t>Interest Exp.(Inc.),Net-Operating, Total</t>
  </si>
  <si>
    <t>Accumulated Depreciation, Total</t>
  </si>
  <si>
    <t>Unusual Expense (Income)</t>
  </si>
  <si>
    <t>Goodwill, Net</t>
  </si>
  <si>
    <t>Other Operating Expenses, Total</t>
  </si>
  <si>
    <t>Goodwill - Gross</t>
  </si>
  <si>
    <t>Other, Net</t>
  </si>
  <si>
    <t>Accumulated Goodwill Amortization</t>
  </si>
  <si>
    <t>Total Operating Expense</t>
  </si>
  <si>
    <t>Intangibles, Net</t>
  </si>
  <si>
    <t>Operating Income</t>
  </si>
  <si>
    <t>Intangibles - Gross</t>
  </si>
  <si>
    <t>Interest Expense, Net Non-Operating</t>
  </si>
  <si>
    <t>Accumulated Intangible Amortization</t>
  </si>
  <si>
    <t>Interest/Invest Income - Non-Operating</t>
  </si>
  <si>
    <t>Long Term Investments</t>
  </si>
  <si>
    <t>Interest Income(Exp), Net Non-Operating</t>
  </si>
  <si>
    <t>LT Investment - Affiliate Companies</t>
  </si>
  <si>
    <t>Interest Inc.(Exp.),Net-Non-Op., Total</t>
  </si>
  <si>
    <t>LT Investments - Other</t>
  </si>
  <si>
    <t>Gain (Loss) on Sale of Assets</t>
  </si>
  <si>
    <t>Note Receivable - Long Term</t>
  </si>
  <si>
    <t>Other Long Term Assets, Total</t>
  </si>
  <si>
    <t>Other Non-Operating Income (Expense)</t>
  </si>
  <si>
    <t>Deferred Charges</t>
  </si>
  <si>
    <t>Net Income Before Taxes</t>
  </si>
  <si>
    <t>Defered Income Tax - Long Term Asset</t>
  </si>
  <si>
    <t>Provision for Income Taxes</t>
  </si>
  <si>
    <t>Total Assets</t>
  </si>
  <si>
    <t>Net Income After Taxes</t>
  </si>
  <si>
    <t>Minority Interest</t>
  </si>
  <si>
    <t>Liabilities (VND Millions)</t>
  </si>
  <si>
    <t>Equity In Affiliates</t>
  </si>
  <si>
    <t>U.S. GAAP Adjustment</t>
  </si>
  <si>
    <t>Payable/Accrued</t>
  </si>
  <si>
    <t>Net Income Before Extra. Items</t>
  </si>
  <si>
    <t>Accrued Expenses</t>
  </si>
  <si>
    <t>Notes Payable/Short Term Debt</t>
  </si>
  <si>
    <t>Accounting Change</t>
  </si>
  <si>
    <t>Discontinued Operations</t>
  </si>
  <si>
    <t>Current Port. of LT Debt/Capital Leases</t>
  </si>
  <si>
    <t>Extraordinary Item</t>
  </si>
  <si>
    <t>Other Current liabilities, Total</t>
  </si>
  <si>
    <t>Tax on Extraordinary Items</t>
  </si>
  <si>
    <t>Customer Advances</t>
  </si>
  <si>
    <t>Total Extraordinary Items</t>
  </si>
  <si>
    <t>Income Taxes Payable</t>
  </si>
  <si>
    <t>Net Income</t>
  </si>
  <si>
    <t>Other Current Liabilities</t>
  </si>
  <si>
    <t>Total Current Liabilities</t>
  </si>
  <si>
    <t>Preferred Dividends</t>
  </si>
  <si>
    <t>General Partners' Distributions</t>
  </si>
  <si>
    <t>Total Long Term Debt</t>
  </si>
  <si>
    <t>Miscellaneous Earnings Adjustment</t>
  </si>
  <si>
    <t>Long Term Debt</t>
  </si>
  <si>
    <t>Pro Forma Adjustment</t>
  </si>
  <si>
    <t>Interest Adjustment - Primary EPS</t>
  </si>
  <si>
    <t>Deferred Income Tax</t>
  </si>
  <si>
    <t>Total Adjustments to Net Income</t>
  </si>
  <si>
    <t>Deferred Income Tax - LT Liability</t>
  </si>
  <si>
    <t>Income Available to Com Excl ExtraOrd</t>
  </si>
  <si>
    <t>Income Available to Com Incl ExtraOrd</t>
  </si>
  <si>
    <t>Other Liabilities, Total</t>
  </si>
  <si>
    <t>Basic Weighted Average Shares</t>
  </si>
  <si>
    <t>Reserves</t>
  </si>
  <si>
    <t>Basic EPS Excluding Extraordinary Items</t>
  </si>
  <si>
    <t>Other Long Term Liabilities</t>
  </si>
  <si>
    <t>Basic EPS Including Extraordinary Items</t>
  </si>
  <si>
    <t>Total Liabilities</t>
  </si>
  <si>
    <t>Dilution Adjustment</t>
  </si>
  <si>
    <t>Diluted Net Income</t>
  </si>
  <si>
    <t>Shareholders Equity (VND Millions)</t>
  </si>
  <si>
    <t>Diluted Weighted Average Shares</t>
  </si>
  <si>
    <t>Redeemable Preferred Stock, Total</t>
  </si>
  <si>
    <t>Diluted EPS Excluding ExtraOrd Items</t>
  </si>
  <si>
    <t>Preferred Stock - Non Redeemable, Net</t>
  </si>
  <si>
    <t>Diluted EPS Including ExtraOrd Items</t>
  </si>
  <si>
    <t>Common Stock, Total</t>
  </si>
  <si>
    <t>Supplemental (VND Millions)</t>
  </si>
  <si>
    <t>Common Stock</t>
  </si>
  <si>
    <t>DPS - Common Stock Primary Issue</t>
  </si>
  <si>
    <t>Additional Paid-In Capital</t>
  </si>
  <si>
    <t>Dividends per Share - Com Stock Issue 2</t>
  </si>
  <si>
    <t>Retained Earnings (Accumulated Deficit)</t>
  </si>
  <si>
    <t>Dividends per Share - Com Stock Issue 3</t>
  </si>
  <si>
    <t>Treasury Stock - Common</t>
  </si>
  <si>
    <t>Dividends per Share - Com Stock Issue 4</t>
  </si>
  <si>
    <t>ESOP Debt Guarantee</t>
  </si>
  <si>
    <t>Special DPS - Common Stock Primary Issue</t>
  </si>
  <si>
    <t>Unrealized Gain (Loss)</t>
  </si>
  <si>
    <t>Special DPS - Common Stock Issue 2</t>
  </si>
  <si>
    <t>Other Equity, Total</t>
  </si>
  <si>
    <t>Special DPS - Common Stock Issue 3</t>
  </si>
  <si>
    <t>Translation Adjustment</t>
  </si>
  <si>
    <t>Special DPS - Common Stock Issue 4</t>
  </si>
  <si>
    <t>Other Equity</t>
  </si>
  <si>
    <t>Gross Dividends - Common Stock</t>
  </si>
  <si>
    <t>Total Equity</t>
  </si>
  <si>
    <t>Pro Forma Stock Compensation Expense</t>
  </si>
  <si>
    <t>Net Income after Stock Based Comp. Exp.</t>
  </si>
  <si>
    <t>Total Liabilities &amp; Shareholders' Equity</t>
  </si>
  <si>
    <t>Basic EPS after Stock Based Comp. Exp.</t>
  </si>
  <si>
    <t>Diluted EPS after Stock Based Comp. Exp.</t>
  </si>
  <si>
    <t>(Gain) Loss on Sale of Assets, Suppl.</t>
  </si>
  <si>
    <t>Shares Outstanding - Common Issue 2</t>
  </si>
  <si>
    <t>Impairment-Assets Held for Sale, Suppl.</t>
  </si>
  <si>
    <t>Shares Outstanding - Common Issue 3</t>
  </si>
  <si>
    <t>Impairment-Assets Held for Use, Suppl.</t>
  </si>
  <si>
    <t>Shares Outstanding - Common Issue 4</t>
  </si>
  <si>
    <t>Litigation Charge, Supplemental</t>
  </si>
  <si>
    <t>Total Common Shares Outstanding</t>
  </si>
  <si>
    <t>Purchased R&amp;D Written-Off, Supplemental</t>
  </si>
  <si>
    <t>Shares Outs - Common Stock Primary Issue</t>
  </si>
  <si>
    <t>Restructuring Charge, Supplemental</t>
  </si>
  <si>
    <t>Treas Shares - Common Stock Prmry Issue</t>
  </si>
  <si>
    <t>Other Unusual Expense(Income), Suppl.</t>
  </si>
  <si>
    <t>Treasury Shares - Common Issue 2</t>
  </si>
  <si>
    <t>Non-Recurring Items, Supplemental, Total</t>
  </si>
  <si>
    <t>Treasury Shares - Common Issue 3</t>
  </si>
  <si>
    <t>Total Special Items</t>
  </si>
  <si>
    <t>Treasury Shares - Common Issue 4</t>
  </si>
  <si>
    <t>Normalized Income Before Taxes</t>
  </si>
  <si>
    <t>Total Preferred Shares Outstanding</t>
  </si>
  <si>
    <t>Effect of Special Items on Income Taxes</t>
  </si>
  <si>
    <t>Treasury Shares - Preferred Issue 1</t>
  </si>
  <si>
    <t>Inc Tax Ex Impact of Sp Items</t>
  </si>
  <si>
    <t>Treasury Shares - Preferred Issue 2</t>
  </si>
  <si>
    <t>Normalized Income After Taxes</t>
  </si>
  <si>
    <t>Treasury Shares - Preferred Issue 3</t>
  </si>
  <si>
    <t>Normalized Inc. Avail to Com.</t>
  </si>
  <si>
    <t>Treasury Shares - Preferred Issue 4</t>
  </si>
  <si>
    <t>Basic Normalized EPS</t>
  </si>
  <si>
    <t>Treasury Shares - Preferred Issue 5</t>
  </si>
  <si>
    <t>Diluted Normalized EPS</t>
  </si>
  <si>
    <t>Treasury Shares - Preferred Issue 6</t>
  </si>
  <si>
    <t>EPS, Supplemental</t>
  </si>
  <si>
    <t>Minority Interest - Redeemable</t>
  </si>
  <si>
    <t>Funds From Operations - REIT</t>
  </si>
  <si>
    <t>Minority Interest - Non Redeemable</t>
  </si>
  <si>
    <t>Amort of Acquisition Costs, Supplemental</t>
  </si>
  <si>
    <t>Total Equity &amp; Minority Interest</t>
  </si>
  <si>
    <t>Amort of Intangibles, Supplemental</t>
  </si>
  <si>
    <t>Full-Time Employees</t>
  </si>
  <si>
    <t>Amort. of Right-of-Use Intang.Assets,Sup</t>
  </si>
  <si>
    <t>Part-Time Employees</t>
  </si>
  <si>
    <t>Depreciation, Supplemental</t>
  </si>
  <si>
    <t>Number of Common Shareholders</t>
  </si>
  <si>
    <t>Depreciation of Right-of-Use Assets,Sup.</t>
  </si>
  <si>
    <t>Other Property/Plant/Equipment - Net</t>
  </si>
  <si>
    <t>Interest Expense, Supplemental</t>
  </si>
  <si>
    <t>Intangibles - Net</t>
  </si>
  <si>
    <t>Interest Capitalized, Supplemental</t>
  </si>
  <si>
    <t>Goodwill - Net</t>
  </si>
  <si>
    <t>Interest Expense on Lease Liabs., Suppl.</t>
  </si>
  <si>
    <t>Accumulated Goodwill Amortization Suppl.</t>
  </si>
  <si>
    <t>Interest Expense (Financial Oper), Suppl</t>
  </si>
  <si>
    <t>Accumulated Intangible Amort, Suppl.</t>
  </si>
  <si>
    <t>Net Revenues</t>
  </si>
  <si>
    <t>Wgt Avg Rem Lease Term (Yrs)-Oper Lease</t>
  </si>
  <si>
    <t>Rental Expense, Supplemental</t>
  </si>
  <si>
    <t>Wgt Avg Rem Lease Term (Yrs)-Fin Lease</t>
  </si>
  <si>
    <t>Labor &amp; Related Expense Suppl.</t>
  </si>
  <si>
    <t>Wgt Avg Disc Rate - Operating Lease</t>
  </si>
  <si>
    <t>Stock-Based Compensation, Supplemental</t>
  </si>
  <si>
    <t>Wgt Avg Disc Rate - Finance Lease</t>
  </si>
  <si>
    <t>Variable Lease Expense - Unclassified</t>
  </si>
  <si>
    <t>Right-of-Use Assets-Cap.Lease,Net-Suppl.</t>
  </si>
  <si>
    <t>Variable Operating Lease Expenses</t>
  </si>
  <si>
    <t>Right-of-Use Assets-Cap.Lease,Gross-Sup.</t>
  </si>
  <si>
    <t>Variable Financial Lease Expenses</t>
  </si>
  <si>
    <t>Right-of-Use Assets-Cap.Lease,Depr.-Sup.</t>
  </si>
  <si>
    <t>Short-Term Lease Cost</t>
  </si>
  <si>
    <t>Right-of-Use Assets-Op.Lease, Net-Suppl.</t>
  </si>
  <si>
    <t>Sublease Income</t>
  </si>
  <si>
    <t>Right-of-Use Assets-Op.Lease, Gross-Sup.</t>
  </si>
  <si>
    <t>Lease Expense -Total</t>
  </si>
  <si>
    <t>Right-of-Use Assets-Op.Lease, Depr.-Sup.</t>
  </si>
  <si>
    <t>Advertising Expense, Supplemental</t>
  </si>
  <si>
    <t>Non-Current Marketable Securities,Suppl.</t>
  </si>
  <si>
    <t>Equity in Affiliates, Supplemental</t>
  </si>
  <si>
    <t>Contract Assets - Short Term</t>
  </si>
  <si>
    <t>Minority Interest, Supplemental</t>
  </si>
  <si>
    <t>Contract Assets - Long Term</t>
  </si>
  <si>
    <t>Income Taxes - Non-Recurring Tax Change</t>
  </si>
  <si>
    <t>Contract Liability - Long Term</t>
  </si>
  <si>
    <t>Research &amp; Development Exp, Supplemental</t>
  </si>
  <si>
    <t>Contract Liability - Short Term</t>
  </si>
  <si>
    <t>Audit Fees</t>
  </si>
  <si>
    <t>Deferred Revenue - Current</t>
  </si>
  <si>
    <t>Audit-Related Fees</t>
  </si>
  <si>
    <t>Deferred Revenue - Long Term</t>
  </si>
  <si>
    <t>Tax Fees</t>
  </si>
  <si>
    <t>Short Term Debt Financial Sector, Suppl.</t>
  </si>
  <si>
    <t>All Other Fees</t>
  </si>
  <si>
    <t>Curr Port - LTD/Cap Lse Fin Sec., Suppl.</t>
  </si>
  <si>
    <t>Reported Recurring Revenue</t>
  </si>
  <si>
    <t>Long Term Debt Financial Sector, Suppl.</t>
  </si>
  <si>
    <t>Reported Net Premiums Written</t>
  </si>
  <si>
    <t>Capital Lease Oblig. - Fin Sector, Suppl</t>
  </si>
  <si>
    <t>Reported Total Revenue</t>
  </si>
  <si>
    <t>Curr. Port. of LT Capital Leases, Suppl.</t>
  </si>
  <si>
    <t>Reported Operating Revenue</t>
  </si>
  <si>
    <t>Curr Port of LT Operating Leases, Suppl.</t>
  </si>
  <si>
    <t>Reported Total Cost of Revenue</t>
  </si>
  <si>
    <t>Long-Term Operating Lease Liabs., Suppl.</t>
  </si>
  <si>
    <t>Reported Total Sales, General &amp; Admin.</t>
  </si>
  <si>
    <t>Curr Derivative Liab. Hedging, Suppl.</t>
  </si>
  <si>
    <t>Reported Gross Profit</t>
  </si>
  <si>
    <t>Curr Derivative Liab. Spec./Trdg, Suppl.</t>
  </si>
  <si>
    <t>Reported Operating Profit</t>
  </si>
  <si>
    <t>Non-Curr Derivative Liab. Hedging, Suppl</t>
  </si>
  <si>
    <t>Reported Operating Profit Margin</t>
  </si>
  <si>
    <t>Non-Curr Derivative Liab Spec/Trdg Suppl</t>
  </si>
  <si>
    <t>Reported Ordinary Profit</t>
  </si>
  <si>
    <t>Leverage Ratio (Basel 3)</t>
  </si>
  <si>
    <t>Reported Net Income After Tax</t>
  </si>
  <si>
    <t>Net Stable Funding Ratio (Basel 3)</t>
  </si>
  <si>
    <t>Reported Basic EPS</t>
  </si>
  <si>
    <t>Liquidity Coverage Ratio (Basel 3)</t>
  </si>
  <si>
    <t>Reported Diluted EPS</t>
  </si>
  <si>
    <t>Capital Adequacy - Core Tier 1 (Value)</t>
  </si>
  <si>
    <t>Reported Net Business Profits</t>
  </si>
  <si>
    <t>Capital Adequacy - Hybrid Tier 1 (Value)</t>
  </si>
  <si>
    <t>Islamic Income</t>
  </si>
  <si>
    <t>Capital Adequacy -Tier 1 Capital (Value)</t>
  </si>
  <si>
    <t>Zakat</t>
  </si>
  <si>
    <t>Capital Adequacy -Tier 2 Capital (Value)</t>
  </si>
  <si>
    <t>COVID-19 Non-Recurring Inc/Exp - Other</t>
  </si>
  <si>
    <t>Capital Adequacy -Tier 3 Capital (Value)</t>
  </si>
  <si>
    <t>COVID-19 One-time Provisions</t>
  </si>
  <si>
    <t>Capital Adequacy - Total Capital (Value)</t>
  </si>
  <si>
    <t>COVID-19 Restructuring Chrgs/Provisions</t>
  </si>
  <si>
    <t>Total Risk-Weighted Capital</t>
  </si>
  <si>
    <t>COVID-19 Impairment of Long-Term Assets</t>
  </si>
  <si>
    <t>Capital Adequacy - Core Tier 1 Capital %</t>
  </si>
  <si>
    <t>COVID-19 One-time Government Grants</t>
  </si>
  <si>
    <t>Capital Adequacy - Tier 1 Capital %</t>
  </si>
  <si>
    <t>COVID-19 Inc Taxes - Non-Recurring</t>
  </si>
  <si>
    <t>Capital Adequacy - Tier 2 Capital %</t>
  </si>
  <si>
    <t>Islamic Section, Supplemental</t>
  </si>
  <si>
    <t>Capital Adequacy - Tier 3 Capital %</t>
  </si>
  <si>
    <t>Normalized EBIT</t>
  </si>
  <si>
    <t>Capital Adequacy - Total Capital %</t>
  </si>
  <si>
    <t>Normalized EBITDA</t>
  </si>
  <si>
    <t>Trading Account</t>
  </si>
  <si>
    <t>Tax &amp; Pension Items (VND Millions)</t>
  </si>
  <si>
    <t>Credit Exposure</t>
  </si>
  <si>
    <t>Current Tax - Total</t>
  </si>
  <si>
    <t>Non-Performing Loans</t>
  </si>
  <si>
    <t>Assets under Management</t>
  </si>
  <si>
    <t>Deferred Tax - Total</t>
  </si>
  <si>
    <t>Loans - Stage 1 - Gross, Total</t>
  </si>
  <si>
    <t>Loans - Stage 2 - Gross, Total</t>
  </si>
  <si>
    <t>Income Tax - Total</t>
  </si>
  <si>
    <t>Loans - Stage 3 - Gross, Total</t>
  </si>
  <si>
    <t>Income Tax by Region - Total</t>
  </si>
  <si>
    <t>Total Current Assets less Inventory</t>
  </si>
  <si>
    <t>Domestic Pension Plan Expense</t>
  </si>
  <si>
    <t>Revolving Line of Credit - Outstanding</t>
  </si>
  <si>
    <t>Foreign Pension Plan Expense</t>
  </si>
  <si>
    <t>Rvlvng Line of Credit - Principal Amount</t>
  </si>
  <si>
    <t>Post-Retirement Plan Expense</t>
  </si>
  <si>
    <t>Rvlvng Line of Credit - Unused Amount</t>
  </si>
  <si>
    <t>Total Pension Expense</t>
  </si>
  <si>
    <t>Loans - Gross Non-Performing-As Reported</t>
  </si>
  <si>
    <t>Assumptions</t>
  </si>
  <si>
    <t>Loans - Gross Non-Performing - As Rep -%</t>
  </si>
  <si>
    <t>Total Plan Interest Cost</t>
  </si>
  <si>
    <t>Non-Perform Asst-Oth than Loans- As Rep</t>
  </si>
  <si>
    <t>Total Plan Service Cost</t>
  </si>
  <si>
    <t>Non-Performing Assets-Loans &amp; Oth-As Rep</t>
  </si>
  <si>
    <t>Total Plan Expected Return</t>
  </si>
  <si>
    <t>Net Debt Incl. Pref.Stock &amp; Min.Interest</t>
  </si>
  <si>
    <t>Total Plan Other Expense</t>
  </si>
  <si>
    <t>Tangible Book Value, Common Equity</t>
  </si>
  <si>
    <t>Dividends and Capital Changes</t>
  </si>
  <si>
    <t>Reported Total Assets</t>
  </si>
  <si>
    <t>Viet Nam Dairy Products Ord Shs</t>
  </si>
  <si>
    <t>Reported Total Liabilities</t>
  </si>
  <si>
    <t>Cash Dividend</t>
  </si>
  <si>
    <t>VND 833.33 F</t>
  </si>
  <si>
    <t>VND 1,000.00 F</t>
  </si>
  <si>
    <t>VND 1,400.00 F</t>
  </si>
  <si>
    <t>Shareholders' Equity Excl. Stock Subscr.</t>
  </si>
  <si>
    <t>(31-Dec) Pd.End </t>
  </si>
  <si>
    <t>Reported Shareholder's Equity</t>
  </si>
  <si>
    <t>VND 1,250.00 Extra</t>
  </si>
  <si>
    <t>VND 1,100.00 Extra</t>
  </si>
  <si>
    <t>VND 950.00 Extra</t>
  </si>
  <si>
    <t>VND 950.00 F</t>
  </si>
  <si>
    <t>Reported Net Assets</t>
  </si>
  <si>
    <t>Reported Net Assets to Total Assets</t>
  </si>
  <si>
    <t>VND 1,388.89 I</t>
  </si>
  <si>
    <t>VND 1,666.67 I</t>
  </si>
  <si>
    <t>VND 1,500.00 I</t>
  </si>
  <si>
    <t>Reported Return on Assets</t>
  </si>
  <si>
    <t>(30-Jun) Pd.End </t>
  </si>
  <si>
    <t>Reported Return on Equity</t>
  </si>
  <si>
    <t>Buyback</t>
  </si>
  <si>
    <t>1x</t>
  </si>
  <si>
    <t>Islamic Investments &amp; Deposits</t>
  </si>
  <si>
    <t>(14-Dec) </t>
  </si>
  <si>
    <t>(22-Aug) </t>
  </si>
  <si>
    <t>(21-May) </t>
  </si>
  <si>
    <t>Islamic Receivables</t>
  </si>
  <si>
    <t>Islamic Debt</t>
  </si>
  <si>
    <t>(05-Nov) </t>
  </si>
  <si>
    <t>(19-Jul) </t>
  </si>
  <si>
    <t>Debt &amp; Lease, Pension Items (VND Millions)</t>
  </si>
  <si>
    <t>(09-Aug) </t>
  </si>
  <si>
    <t>(13-May) </t>
  </si>
  <si>
    <t>Total Long Term Debt, Supplemental</t>
  </si>
  <si>
    <t>Total Capital Leases, Supplemental</t>
  </si>
  <si>
    <t>Total Operating Leases, Supplemental</t>
  </si>
  <si>
    <t>Operating Lease Payments Due in Year 1</t>
  </si>
  <si>
    <t>(08-May) </t>
  </si>
  <si>
    <t>Operating Lease Payments Due in Year 2</t>
  </si>
  <si>
    <t>Operating Lease Payments Due in Year 3</t>
  </si>
  <si>
    <t>(05-Jan) </t>
  </si>
  <si>
    <t>Operating Lease Payments Due in Year 4</t>
  </si>
  <si>
    <t>Dividend</t>
  </si>
  <si>
    <t>VND 0.99</t>
  </si>
  <si>
    <t>VND 0.98</t>
  </si>
  <si>
    <t>Operating Lease Payments Due in Year 5</t>
  </si>
  <si>
    <t>(26-Sep)Eff. </t>
  </si>
  <si>
    <t>(15-Oct)Eff. </t>
  </si>
  <si>
    <t>(30-Sep)Eff. </t>
  </si>
  <si>
    <t>(19-Aug)Eff. </t>
  </si>
  <si>
    <t>Operating Lease Pymts. Due in 2-3 Years</t>
  </si>
  <si>
    <t>VND 0.00</t>
  </si>
  <si>
    <t>Operating Lease Pymts. Due in 4-5 Years</t>
  </si>
  <si>
    <t>(26-Jun)Eff. </t>
  </si>
  <si>
    <t>(15-Jul)Eff. </t>
  </si>
  <si>
    <t>(30-Jun)Eff. </t>
  </si>
  <si>
    <t>Oper. Lse. Pymts. Due in Year 6 &amp; Beyond</t>
  </si>
  <si>
    <t>Operating Leases - Interest Cost</t>
  </si>
  <si>
    <t>(30-Mar)Eff. </t>
  </si>
  <si>
    <t>(28-Feb)Eff. </t>
  </si>
  <si>
    <t>(26-Feb)Eff. </t>
  </si>
  <si>
    <t>(25-Feb)Eff. </t>
  </si>
  <si>
    <t>Total Funded Status</t>
  </si>
  <si>
    <t>Scrip Issue</t>
  </si>
  <si>
    <t>Period End Assumptions</t>
  </si>
  <si>
    <t>(27-Sep) </t>
  </si>
  <si>
    <t>(03-Nov) </t>
  </si>
  <si>
    <t>Net Assets Recognized on Balance Sheet</t>
  </si>
  <si>
    <t>Dividends &amp; Capital Changes After Dec-2022</t>
  </si>
  <si>
    <t>Asset Allocation</t>
  </si>
  <si>
    <t>Total Plan Obligations</t>
  </si>
  <si>
    <t>Total Plan Assets</t>
  </si>
  <si>
    <t>(26-Apr)Eff. </t>
  </si>
  <si>
    <t>VND 500.00 F</t>
  </si>
  <si>
    <t>Vietnam Dairy Products JSC | Segments                                08-Dec-2023 19:29</t>
  </si>
  <si>
    <t xml:space="preserve">Annual Geographic by Segment in Billions of Vietnamese Dong </t>
  </si>
  <si>
    <t> </t>
  </si>
  <si>
    <r>
      <t>Domestic</t>
    </r>
    <r>
      <rPr>
        <sz val="11"/>
        <color rgb="FF000000"/>
        <rFont val="Calibri"/>
        <family val="2"/>
      </rPr>
      <t xml:space="preserve">     Ctry/Region: AS </t>
    </r>
  </si>
  <si>
    <r>
      <t>Foreign</t>
    </r>
    <r>
      <rPr>
        <sz val="11"/>
        <color rgb="FF000000"/>
        <rFont val="Calibri"/>
        <family val="2"/>
      </rPr>
      <t xml:space="preserve">     Ctry/Region: OTHERS </t>
    </r>
  </si>
  <si>
    <r>
      <t>Consolidated Total</t>
    </r>
    <r>
      <rPr>
        <sz val="11"/>
        <color rgb="FF000000"/>
        <rFont val="Calibri"/>
        <family val="2"/>
      </rPr>
      <t xml:space="preserve">      </t>
    </r>
  </si>
  <si>
    <t>Date</t>
  </si>
  <si>
    <t>VNM</t>
  </si>
  <si>
    <t>VNM return</t>
  </si>
  <si>
    <t>VN Index</t>
  </si>
  <si>
    <t>VN index return</t>
  </si>
  <si>
    <t>Risk free</t>
  </si>
  <si>
    <t>VNM - rf</t>
  </si>
  <si>
    <t>VNIndex - rf</t>
  </si>
  <si>
    <t>Adjusted beta</t>
  </si>
  <si>
    <t>Annualized Risk free</t>
  </si>
  <si>
    <t>Average Rf</t>
  </si>
  <si>
    <t>Average VN Index</t>
  </si>
  <si>
    <t>Risk prremium</t>
  </si>
  <si>
    <t>Component</t>
  </si>
  <si>
    <t>Value</t>
  </si>
  <si>
    <t>Risk-free rate</t>
  </si>
  <si>
    <t>Raw Beta</t>
  </si>
  <si>
    <t>Adjusted Beta</t>
  </si>
  <si>
    <t>Risk Premium</t>
  </si>
  <si>
    <t>Vietnam Dairy Products JSC | Segments                                11-Dec-2023 20:45</t>
  </si>
  <si>
    <t>Vietnam Dairy Products JSC | Ratios - Key Metrics                                04-Dec-2023 20:19</t>
  </si>
  <si>
    <t>Ratios - Key Metrics</t>
  </si>
  <si>
    <t>Annual YoY Growth in Millions of Vietnamese Dong</t>
  </si>
  <si>
    <t>Profitability</t>
  </si>
  <si>
    <t>Gross Margin</t>
  </si>
  <si>
    <t>(0.7%) </t>
  </si>
  <si>
    <t>0.4% </t>
  </si>
  <si>
    <t>(0.8%) </t>
  </si>
  <si>
    <t>(3.2%) </t>
  </si>
  <si>
    <t>EBITDA Margin</t>
  </si>
  <si>
    <t>15.2% </t>
  </si>
  <si>
    <t>(0.4%) </t>
  </si>
  <si>
    <t>0.6% </t>
  </si>
  <si>
    <t>0.7% </t>
  </si>
  <si>
    <t>(2.7%) </t>
  </si>
  <si>
    <t>(1.4%) </t>
  </si>
  <si>
    <t>0.1% </t>
  </si>
  <si>
    <t>0.0% </t>
  </si>
  <si>
    <t>(1.8%) </t>
  </si>
  <si>
    <t>(3.4%) </t>
  </si>
  <si>
    <t>Pretax Margin</t>
  </si>
  <si>
    <t>10.6% </t>
  </si>
  <si>
    <t>(1.1%) </t>
  </si>
  <si>
    <t>(0.2%) </t>
  </si>
  <si>
    <t>(1.5%) </t>
  </si>
  <si>
    <t>(3.7%) </t>
  </si>
  <si>
    <t>Effective Tax Rate</t>
  </si>
  <si>
    <t>23.4% </t>
  </si>
  <si>
    <t>2.2% </t>
  </si>
  <si>
    <t>(0.6%) </t>
  </si>
  <si>
    <t>0.8% </t>
  </si>
  <si>
    <t>Net Margin</t>
  </si>
  <si>
    <t>7.3% </t>
  </si>
  <si>
    <t>DuPont/Earning Power</t>
  </si>
  <si>
    <t>Asset Turnover</t>
  </si>
  <si>
    <t>1.09 </t>
  </si>
  <si>
    <t>(8.4%) </t>
  </si>
  <si>
    <t>(6.0%) </t>
  </si>
  <si>
    <t>(6.5%) </t>
  </si>
  <si>
    <t>(1.6%) </t>
  </si>
  <si>
    <t>x Pretax Margin</t>
  </si>
  <si>
    <t>Pretax ROA</t>
  </si>
  <si>
    <t>9.3% </t>
  </si>
  <si>
    <t>(4.7%) </t>
  </si>
  <si>
    <t>(2.3%) </t>
  </si>
  <si>
    <t>(2.2%) </t>
  </si>
  <si>
    <t>(3.6%) </t>
  </si>
  <si>
    <t>(4.8%) </t>
  </si>
  <si>
    <t>x Leverage (Assets/Equity)</t>
  </si>
  <si>
    <t>2.57 </t>
  </si>
  <si>
    <t>12.1% </t>
  </si>
  <si>
    <t>4.2% </t>
  </si>
  <si>
    <t>Pretax ROE</t>
  </si>
  <si>
    <t>21.0% </t>
  </si>
  <si>
    <t>(1.0%) </t>
  </si>
  <si>
    <t>(2.0%) </t>
  </si>
  <si>
    <t>(5.9%) </t>
  </si>
  <si>
    <t>x Tax Complement</t>
  </si>
  <si>
    <t>0.76 </t>
  </si>
  <si>
    <t>(2.6%) </t>
  </si>
  <si>
    <t>(0.5%) </t>
  </si>
  <si>
    <t>15.6% </t>
  </si>
  <si>
    <t>(1.9%) </t>
  </si>
  <si>
    <t>(5.1%) </t>
  </si>
  <si>
    <t>(5.6%) </t>
  </si>
  <si>
    <t>x Earnings Retention</t>
  </si>
  <si>
    <t>0.54 </t>
  </si>
  <si>
    <t>93.3% </t>
  </si>
  <si>
    <t>(31.4%) </t>
  </si>
  <si>
    <t>&gt; 99% </t>
  </si>
  <si>
    <t>(47.7%) </t>
  </si>
  <si>
    <t>&lt; (99%) </t>
  </si>
  <si>
    <t>Reinvestment Rate</t>
  </si>
  <si>
    <t>8.3% </t>
  </si>
  <si>
    <t>4.3% </t>
  </si>
  <si>
    <t>6.8% </t>
  </si>
  <si>
    <t>(7.2%) </t>
  </si>
  <si>
    <t>(16.7%) </t>
  </si>
  <si>
    <t>Liquidity</t>
  </si>
  <si>
    <t>Quick Ratio</t>
  </si>
  <si>
    <t>0.74 </t>
  </si>
  <si>
    <t>(11.5%) </t>
  </si>
  <si>
    <t>27.5% </t>
  </si>
  <si>
    <t>Current Ratio</t>
  </si>
  <si>
    <t>1.34 </t>
  </si>
  <si>
    <t>(3.0%) </t>
  </si>
  <si>
    <t>(11.4%) </t>
  </si>
  <si>
    <t>21.9% </t>
  </si>
  <si>
    <t>1.4% </t>
  </si>
  <si>
    <t>Times Interest Earned</t>
  </si>
  <si>
    <t>8.1 </t>
  </si>
  <si>
    <t>(43.7%) </t>
  </si>
  <si>
    <t>(48.7%) </t>
  </si>
  <si>
    <t>(22.5%) </t>
  </si>
  <si>
    <t>52.2% </t>
  </si>
  <si>
    <t>(56.1%) </t>
  </si>
  <si>
    <t>Cash Cycle (Days)</t>
  </si>
  <si>
    <t>39.8 </t>
  </si>
  <si>
    <t>13.3% </t>
  </si>
  <si>
    <t>2.0% </t>
  </si>
  <si>
    <t>18.9% </t>
  </si>
  <si>
    <t>Assets/Equity</t>
  </si>
  <si>
    <t>Debt/Equity</t>
  </si>
  <si>
    <t>0.41 </t>
  </si>
  <si>
    <t>20.1% </t>
  </si>
  <si>
    <t>19.6% </t>
  </si>
  <si>
    <t>(42.2%) </t>
  </si>
  <si>
    <t>% LT Debt to Total Capital</t>
  </si>
  <si>
    <t>15.9% </t>
  </si>
  <si>
    <t>(0.3%) </t>
  </si>
  <si>
    <t>(Total Debt - Cash) / EBITDA</t>
  </si>
  <si>
    <t>1.32 </t>
  </si>
  <si>
    <t>- </t>
  </si>
  <si>
    <t>Operating</t>
  </si>
  <si>
    <t>A/R Turnover</t>
  </si>
  <si>
    <t>14.7 </t>
  </si>
  <si>
    <t>(12.6%) </t>
  </si>
  <si>
    <t>8.4% </t>
  </si>
  <si>
    <t>(4.1%) </t>
  </si>
  <si>
    <t>(10.7%) </t>
  </si>
  <si>
    <t>(9.6%) </t>
  </si>
  <si>
    <t>24.8 </t>
  </si>
  <si>
    <t>5.6 </t>
  </si>
  <si>
    <t>64.9 </t>
  </si>
  <si>
    <t>42.7 </t>
  </si>
  <si>
    <t>Fixed Asset Turnover</t>
  </si>
  <si>
    <t>3.37 </t>
  </si>
  <si>
    <t>(2.1%) </t>
  </si>
  <si>
    <t>6.4% </t>
  </si>
  <si>
    <t>9.6% </t>
  </si>
  <si>
    <t>2.7% </t>
  </si>
  <si>
    <t>WC / Sales Growth</t>
  </si>
  <si>
    <t>(0.0%) </t>
  </si>
  <si>
    <t>1.7% </t>
  </si>
  <si>
    <t>4.7% </t>
  </si>
  <si>
    <t>3.1% </t>
  </si>
  <si>
    <t>Bad Debt Allowance (% of A/R)</t>
  </si>
  <si>
    <t>(0.1%) </t>
  </si>
  <si>
    <t>ROIC</t>
  </si>
  <si>
    <t>(5.0%) </t>
  </si>
  <si>
    <t>Revenue per Employee (VND)</t>
  </si>
  <si>
    <t>VND6,600,357,879.1</t>
  </si>
  <si>
    <t>VND6,297,805,173.4</t>
  </si>
  <si>
    <t>VND6,223,782,741.1</t>
  </si>
  <si>
    <t>VND6,381,308,840.5</t>
  </si>
  <si>
    <t>VND6,233,106,060.7</t>
  </si>
  <si>
    <t>(4.6%) </t>
  </si>
  <si>
    <t>(1.2%) </t>
  </si>
  <si>
    <t>2.5% </t>
  </si>
  <si>
    <t>Vietnam Dairy Products JSC | Income Statement                                07-Dec-2023 23:47</t>
  </si>
  <si>
    <t>Income Statement</t>
  </si>
  <si>
    <t>5.9% </t>
  </si>
  <si>
    <t>Net Sales</t>
  </si>
  <si>
    <t>31-Oct-2022 </t>
  </si>
  <si>
    <t>17-Jul-2023 </t>
  </si>
  <si>
    <t>(5.5%) </t>
  </si>
  <si>
    <t>(7.3%) </t>
  </si>
  <si>
    <t>(27.5%) </t>
  </si>
  <si>
    <t>7.5% </t>
  </si>
  <si>
    <t>4.1% </t>
  </si>
  <si>
    <t>(9.1%) </t>
  </si>
  <si>
    <t>2.6% </t>
  </si>
  <si>
    <t>(3.5%) </t>
  </si>
  <si>
    <t>5.0% </t>
  </si>
  <si>
    <t>27.7% </t>
  </si>
  <si>
    <t>(4.0%) </t>
  </si>
  <si>
    <t>2.4% </t>
  </si>
  <si>
    <t>(39.8%) </t>
  </si>
  <si>
    <t>2.9% </t>
  </si>
  <si>
    <t>(5.2%) </t>
  </si>
  <si>
    <t>(49.5%) </t>
  </si>
  <si>
    <t>32.1% </t>
  </si>
  <si>
    <t>(12.0%) </t>
  </si>
  <si>
    <t>(59.6%) </t>
  </si>
  <si>
    <t>32.2% </t>
  </si>
  <si>
    <t>(38.3%) </t>
  </si>
  <si>
    <t>87.0% </t>
  </si>
  <si>
    <t>(69.0%) </t>
  </si>
  <si>
    <t>9.8% </t>
  </si>
  <si>
    <t>(58.6%) </t>
  </si>
  <si>
    <t>3.9% </t>
  </si>
  <si>
    <t>(8.7%) </t>
  </si>
  <si>
    <t>(75.8%) </t>
  </si>
  <si>
    <t>Litigation</t>
  </si>
  <si>
    <t>4.5% </t>
  </si>
  <si>
    <t>5.8% </t>
  </si>
  <si>
    <t>(17.6%) </t>
  </si>
  <si>
    <t>Investment Income - Non-Operating</t>
  </si>
  <si>
    <t>(70.6%) </t>
  </si>
  <si>
    <t>(20.0%) </t>
  </si>
  <si>
    <t>(46.0%) </t>
  </si>
  <si>
    <t>(65.4%) </t>
  </si>
  <si>
    <t>5.6% </t>
  </si>
  <si>
    <t>(4.4%) </t>
  </si>
  <si>
    <t>(18.8%) </t>
  </si>
  <si>
    <t>1.8% </t>
  </si>
  <si>
    <t>0.3% </t>
  </si>
  <si>
    <t>(16.2%) </t>
  </si>
  <si>
    <t>6.5% </t>
  </si>
  <si>
    <t>(5.4%) </t>
  </si>
  <si>
    <t>(19.3%) </t>
  </si>
  <si>
    <t>26.9% </t>
  </si>
  <si>
    <t>38.5% </t>
  </si>
  <si>
    <t>4.9% </t>
  </si>
  <si>
    <t>(19.1%) </t>
  </si>
  <si>
    <t>(8.5%) </t>
  </si>
  <si>
    <t>3.5% </t>
  </si>
  <si>
    <t>15.3% </t>
  </si>
  <si>
    <t>(5.3%) </t>
  </si>
  <si>
    <t>(19.6%) </t>
  </si>
  <si>
    <t>(22.2%) </t>
  </si>
  <si>
    <t>45.8% </t>
  </si>
  <si>
    <t>(51.0%) </t>
  </si>
  <si>
    <t>4.6% </t>
  </si>
  <si>
    <t>(6.6%) </t>
  </si>
  <si>
    <t>(18.2%) </t>
  </si>
  <si>
    <t>(2.4%) </t>
  </si>
  <si>
    <t>79.0% </t>
  </si>
  <si>
    <t>23.8% </t>
  </si>
  <si>
    <t>(16.0%) </t>
  </si>
  <si>
    <t>11.5% </t>
  </si>
  <si>
    <t>(7.9%) </t>
  </si>
  <si>
    <t>(18.7%) </t>
  </si>
  <si>
    <t>10.1% </t>
  </si>
  <si>
    <t>(18.9%) </t>
  </si>
  <si>
    <t>(71.0%) </t>
  </si>
  <si>
    <t>11.9% </t>
  </si>
  <si>
    <t>(66.6%) </t>
  </si>
  <si>
    <t>24.0% </t>
  </si>
  <si>
    <t>45.7% </t>
  </si>
  <si>
    <t>(1.7%) </t>
  </si>
  <si>
    <t>8.6% </t>
  </si>
  <si>
    <t>1.3% </t>
  </si>
  <si>
    <t>Tax &amp; Pension Items ($ Millions)</t>
  </si>
  <si>
    <t>(17.9%) </t>
  </si>
  <si>
    <t>19.4% </t>
  </si>
  <si>
    <t>3.2% </t>
  </si>
  <si>
    <t>(8.6%) </t>
  </si>
  <si>
    <t>(15.1%) </t>
  </si>
  <si>
    <t>(15.7%) </t>
  </si>
  <si>
    <t>(77.0%) </t>
  </si>
  <si>
    <t>Current Tax - Local</t>
  </si>
  <si>
    <t>21.4% </t>
  </si>
  <si>
    <t>(12.2%) </t>
  </si>
  <si>
    <t>(22.4%) </t>
  </si>
  <si>
    <t>Deferred Tax - Local</t>
  </si>
  <si>
    <t>Rights Issue</t>
  </si>
  <si>
    <t>(05-Oct)Eff. </t>
  </si>
  <si>
    <t>Company Shares | National - Historical Owner | Historical | % breakdown</t>
  </si>
  <si>
    <t>Company Name</t>
  </si>
  <si>
    <t>2018</t>
  </si>
  <si>
    <t>2019</t>
  </si>
  <si>
    <t>2020</t>
  </si>
  <si>
    <t>2021</t>
  </si>
  <si>
    <t>2022</t>
  </si>
  <si>
    <t>2023</t>
  </si>
  <si>
    <t>Vietnam Dairy Products JSC (Vinamilk)</t>
  </si>
  <si>
    <t>FrieslandCampina Vietnam Co Ltd</t>
  </si>
  <si>
    <t>Nestlé Vietnam Co Ltd</t>
  </si>
  <si>
    <t>Nutifood Nutrition Food JSC</t>
  </si>
  <si>
    <t>Research Sources:</t>
  </si>
  <si>
    <t>Dairy Products and Alternatives: Euromonitor from trade sources/national statistics</t>
  </si>
  <si>
    <t>Date Exported (GMT): 11/28/2023 8:19:45 AM</t>
  </si>
  <si>
    <t>© Euromonitor International</t>
  </si>
  <si>
    <t>Company Shares | Global - Historical Owner | Historical | Period growth | Actuals</t>
  </si>
  <si>
    <t>Data Type</t>
  </si>
  <si>
    <t>2018 - 2022 %</t>
  </si>
  <si>
    <t>2018 - 2022 CAGR %</t>
  </si>
  <si>
    <t>2018 - 2022 Absolute</t>
  </si>
  <si>
    <t>Retail Value RSP</t>
  </si>
  <si>
    <t>Royal FrieslandCampina NV</t>
  </si>
  <si>
    <t>Nestlé SA</t>
  </si>
  <si>
    <t>Date Exported (GMT): 12/3/2023 2:01:26 PM</t>
  </si>
  <si>
    <t>Average</t>
  </si>
  <si>
    <t>Brand Shares | Local - Historical Owner | Historical | % breakdown</t>
  </si>
  <si>
    <t>Brand Name (GBO)</t>
  </si>
  <si>
    <t>Company Name (NBO)</t>
  </si>
  <si>
    <t>Ngoi Sao Phuong Nam (Vietnam Dairy Products JSC (Vinamilk))</t>
  </si>
  <si>
    <t>Ong Tho (Vietnam Dairy Products JSC (Vinamilk))</t>
  </si>
  <si>
    <t>Dutch Lady (Royal FrieslandCampina NV)</t>
  </si>
  <si>
    <t>Hoan Hao (Royal FrieslandCampina NV)</t>
  </si>
  <si>
    <t>Coffee-mate (Nestlé SA)</t>
  </si>
  <si>
    <t>Nuti (Nutifood Nutrition Food JSC)</t>
  </si>
  <si>
    <t>Date Exported (GMT): 12/3/2023 4:57:42 PM</t>
  </si>
  <si>
    <t>Current Constant</t>
  </si>
  <si>
    <t>Current Prices</t>
  </si>
  <si>
    <t>Ngoi Sao Phuong Nam (Vinamilk)</t>
  </si>
  <si>
    <t>Ong Tho (Vinamilk)</t>
  </si>
  <si>
    <t>Ngoi Sao Phuong Nam</t>
  </si>
  <si>
    <t>Ong Tho</t>
  </si>
  <si>
    <t>Dutch Lady</t>
  </si>
  <si>
    <t>Hoan Hao</t>
  </si>
  <si>
    <t>nnnn</t>
  </si>
  <si>
    <t>ggg</t>
  </si>
  <si>
    <t>nn</t>
  </si>
  <si>
    <t>Latest As of November-29-2023</t>
  </si>
  <si>
    <t>Trading Multiples</t>
  </si>
  <si>
    <t>CY2019</t>
  </si>
  <si>
    <t>Count</t>
  </si>
  <si>
    <t>CY2020</t>
  </si>
  <si>
    <t>CY2021</t>
  </si>
  <si>
    <t>CY2022</t>
  </si>
  <si>
    <t>Latest</t>
  </si>
  <si>
    <t>TEV/Total Revenue</t>
  </si>
  <si>
    <t>1.3x</t>
  </si>
  <si>
    <t>1.5x</t>
  </si>
  <si>
    <t>1.2x</t>
  </si>
  <si>
    <t>1.1x</t>
  </si>
  <si>
    <t>TEV/EBITDA</t>
  </si>
  <si>
    <t>12.3x</t>
  </si>
  <si>
    <t>12.9x</t>
  </si>
  <si>
    <t>12.4x</t>
  </si>
  <si>
    <t>11.9x</t>
  </si>
  <si>
    <t>11.3x</t>
  </si>
  <si>
    <t>TEV/EBIT</t>
  </si>
  <si>
    <t>18.2x</t>
  </si>
  <si>
    <t>19.0x</t>
  </si>
  <si>
    <t>18.4x</t>
  </si>
  <si>
    <t>17.8x</t>
  </si>
  <si>
    <t>17.0x</t>
  </si>
  <si>
    <t>P/E</t>
  </si>
  <si>
    <t>22.5x</t>
  </si>
  <si>
    <t>25.2x</t>
  </si>
  <si>
    <t>21.9x</t>
  </si>
  <si>
    <t>21.1x</t>
  </si>
  <si>
    <t>19.3x</t>
  </si>
  <si>
    <t>P/BV</t>
  </si>
  <si>
    <t>2.4x</t>
  </si>
  <si>
    <t>2.7x</t>
  </si>
  <si>
    <t>2.3x</t>
  </si>
  <si>
    <t>2.1x</t>
  </si>
  <si>
    <t>2.0x</t>
  </si>
  <si>
    <t>P/TangBV</t>
  </si>
  <si>
    <t>2.8x</t>
  </si>
  <si>
    <t>3.2x</t>
  </si>
  <si>
    <t>Return on Assets %</t>
  </si>
  <si>
    <t>4.0%</t>
  </si>
  <si>
    <t>4.2%</t>
  </si>
  <si>
    <t>3.8%</t>
  </si>
  <si>
    <t>3.6%</t>
  </si>
  <si>
    <t>Return on Capital %</t>
  </si>
  <si>
    <t>5.2%</t>
  </si>
  <si>
    <t>5.5%</t>
  </si>
  <si>
    <t>5.0%</t>
  </si>
  <si>
    <t>4.7%</t>
  </si>
  <si>
    <t>Return on Equity %</t>
  </si>
  <si>
    <t>8.7%</t>
  </si>
  <si>
    <t>9.8%</t>
  </si>
  <si>
    <t>9.4%</t>
  </si>
  <si>
    <t>8.5%</t>
  </si>
  <si>
    <t>8.4%</t>
  </si>
  <si>
    <t>Margin Analysis</t>
  </si>
  <si>
    <t>Gross Margin %</t>
  </si>
  <si>
    <t>SG&amp;A Margin %</t>
  </si>
  <si>
    <t>15.8%</t>
  </si>
  <si>
    <t>15.6%</t>
  </si>
  <si>
    <t>14.1%</t>
  </si>
  <si>
    <t>13.1%</t>
  </si>
  <si>
    <t>13.3%</t>
  </si>
  <si>
    <t>EBITDA Margin %</t>
  </si>
  <si>
    <t>15.1%</t>
  </si>
  <si>
    <t>14.9%</t>
  </si>
  <si>
    <t>14.0%</t>
  </si>
  <si>
    <t>13.7%</t>
  </si>
  <si>
    <t>EBITA Margin %</t>
  </si>
  <si>
    <t>10.5%</t>
  </si>
  <si>
    <t>11.3%</t>
  </si>
  <si>
    <t>11.7%</t>
  </si>
  <si>
    <t>11.0%</t>
  </si>
  <si>
    <t>10.6%</t>
  </si>
  <si>
    <t>EBIT Margin %</t>
  </si>
  <si>
    <t>Earnings from Cont. Ops Margin %</t>
  </si>
  <si>
    <t>7.4%</t>
  </si>
  <si>
    <t>8.6%</t>
  </si>
  <si>
    <t>8.9%</t>
  </si>
  <si>
    <t>7.3%</t>
  </si>
  <si>
    <t>7.8%</t>
  </si>
  <si>
    <t>Net Income Margin %</t>
  </si>
  <si>
    <t>7.2%</t>
  </si>
  <si>
    <t>7.9%</t>
  </si>
  <si>
    <t>6.5%</t>
  </si>
  <si>
    <t>6.9%</t>
  </si>
  <si>
    <t>Net Income Avail. for Common Margin %</t>
  </si>
  <si>
    <t>7.7%</t>
  </si>
  <si>
    <t>7.6%</t>
  </si>
  <si>
    <t>6.3%</t>
  </si>
  <si>
    <t>6.7%</t>
  </si>
  <si>
    <t>Normalized Net Income Margin %</t>
  </si>
  <si>
    <t>5.8%</t>
  </si>
  <si>
    <t>6.0%</t>
  </si>
  <si>
    <t>5.3%</t>
  </si>
  <si>
    <t xml:space="preserve">   Levered Free Cash Flow Margin %</t>
  </si>
  <si>
    <t>(1.1%)</t>
  </si>
  <si>
    <t>5.7%</t>
  </si>
  <si>
    <t xml:space="preserve">   Unlevered Free Cash Flow Margin %</t>
  </si>
  <si>
    <t>6.4%</t>
  </si>
  <si>
    <t>(0.1%)</t>
  </si>
  <si>
    <t>Total Asset Turnover</t>
  </si>
  <si>
    <t>1.0x</t>
  </si>
  <si>
    <t>Accounts Receivable Turnover</t>
  </si>
  <si>
    <t>9.4x</t>
  </si>
  <si>
    <t>9.9x</t>
  </si>
  <si>
    <t>9.8x</t>
  </si>
  <si>
    <t>10.5x</t>
  </si>
  <si>
    <t>Inventory Turnover</t>
  </si>
  <si>
    <t>5.6x</t>
  </si>
  <si>
    <t>5.7x</t>
  </si>
  <si>
    <t>5.4x</t>
  </si>
  <si>
    <t>5.1x</t>
  </si>
  <si>
    <t>Short Term Liquidity</t>
  </si>
  <si>
    <t>1.4x</t>
  </si>
  <si>
    <t>1.6x</t>
  </si>
  <si>
    <t>1.7x</t>
  </si>
  <si>
    <t>Avg Days Inventory Outstanding</t>
  </si>
  <si>
    <t>Avg Days Payable Outstanding</t>
  </si>
  <si>
    <t>Avg Days Sales Outstanding</t>
  </si>
  <si>
    <t>Avg Cash Conversion Cycle</t>
  </si>
  <si>
    <t>Cash from Operations to Current Liabilities</t>
  </si>
  <si>
    <t>0.4x</t>
  </si>
  <si>
    <t>0.3x</t>
  </si>
  <si>
    <t>Long Term Solvency</t>
  </si>
  <si>
    <t>Total Debt/Equity</t>
  </si>
  <si>
    <t>48.3%</t>
  </si>
  <si>
    <t>60.7%</t>
  </si>
  <si>
    <t>62.1%</t>
  </si>
  <si>
    <t>61.5%</t>
  </si>
  <si>
    <t>58.6%</t>
  </si>
  <si>
    <t>Total Debt/Capital</t>
  </si>
  <si>
    <t>32.5%</t>
  </si>
  <si>
    <t>37.8%</t>
  </si>
  <si>
    <t>38.3%</t>
  </si>
  <si>
    <t>38.1%</t>
  </si>
  <si>
    <t>36.9%</t>
  </si>
  <si>
    <t>LT Debt/Equity</t>
  </si>
  <si>
    <t>20.3%</t>
  </si>
  <si>
    <t>35.8%</t>
  </si>
  <si>
    <t>38.2%</t>
  </si>
  <si>
    <t>34.5%</t>
  </si>
  <si>
    <t>LT Debt/Capital</t>
  </si>
  <si>
    <t>13.6%</t>
  </si>
  <si>
    <t>22.2%</t>
  </si>
  <si>
    <t>23.2%</t>
  </si>
  <si>
    <t>21.4%</t>
  </si>
  <si>
    <t>Total Liabilities/Total Assets</t>
  </si>
  <si>
    <t>45.6%</t>
  </si>
  <si>
    <t>49.1%</t>
  </si>
  <si>
    <t>47.5%</t>
  </si>
  <si>
    <t>47.1%</t>
  </si>
  <si>
    <t>EBIT / Interest Expenses</t>
  </si>
  <si>
    <t>6.7x</t>
  </si>
  <si>
    <t>6.2x</t>
  </si>
  <si>
    <t>6.9x</t>
  </si>
  <si>
    <t>6.3x</t>
  </si>
  <si>
    <t>5.3x</t>
  </si>
  <si>
    <t>EBITDA / Interest Exp.</t>
  </si>
  <si>
    <t>8.9x</t>
  </si>
  <si>
    <t>8.2x</t>
  </si>
  <si>
    <t>8.7x</t>
  </si>
  <si>
    <t>8.0x</t>
  </si>
  <si>
    <t>6.8x</t>
  </si>
  <si>
    <t>(EBITDA-CAPEX) / Interest Exp.</t>
  </si>
  <si>
    <t>10.3x</t>
  </si>
  <si>
    <t>11.6x</t>
  </si>
  <si>
    <t>11.5x</t>
  </si>
  <si>
    <t>8.4x</t>
  </si>
  <si>
    <t>Total Debt/EBITDA</t>
  </si>
  <si>
    <t>1.9x</t>
  </si>
  <si>
    <t>2.6x</t>
  </si>
  <si>
    <t>2.5x</t>
  </si>
  <si>
    <t>Net Debt/EBITDA</t>
  </si>
  <si>
    <t>0.9x</t>
  </si>
  <si>
    <t>Growth Over Prior Year</t>
  </si>
  <si>
    <t>Total Revenue, 1 Yr Growth %</t>
  </si>
  <si>
    <t>8.0%</t>
  </si>
  <si>
    <t>1.4%</t>
  </si>
  <si>
    <t>2.8%</t>
  </si>
  <si>
    <t>Gross Profit, 1 Yr Growth %</t>
  </si>
  <si>
    <t>7.0%</t>
  </si>
  <si>
    <t>(6.4%)</t>
  </si>
  <si>
    <t>(3.7%)</t>
  </si>
  <si>
    <t>4.6%</t>
  </si>
  <si>
    <t>EBITDA, 1 Yr Growth %</t>
  </si>
  <si>
    <t>14.7%</t>
  </si>
  <si>
    <t>17.7%</t>
  </si>
  <si>
    <t>(5.4%)</t>
  </si>
  <si>
    <t>(2.6%)</t>
  </si>
  <si>
    <t>EBITA, 1 Yr Growth %</t>
  </si>
  <si>
    <t>15.7%</t>
  </si>
  <si>
    <t>(7.7%)</t>
  </si>
  <si>
    <t>(4.5%)</t>
  </si>
  <si>
    <t>EBIT, 1 Yr Growth %</t>
  </si>
  <si>
    <t>20.5%</t>
  </si>
  <si>
    <t>(4.7%)</t>
  </si>
  <si>
    <t>Earnings from Cont. Ops., 1 Yr Growth %</t>
  </si>
  <si>
    <t>19.3%</t>
  </si>
  <si>
    <t>(1.4%)</t>
  </si>
  <si>
    <t>(11.5%)</t>
  </si>
  <si>
    <t>2.3%</t>
  </si>
  <si>
    <t>Net Income, 1 Yr Growth %</t>
  </si>
  <si>
    <t>17.5%</t>
  </si>
  <si>
    <t>2.6%</t>
  </si>
  <si>
    <t>(14.5%)</t>
  </si>
  <si>
    <t>0.2%</t>
  </si>
  <si>
    <t>Normalized Net Income, 1 Yr Growth %</t>
  </si>
  <si>
    <t>12.5%</t>
  </si>
  <si>
    <t>17.1%</t>
  </si>
  <si>
    <t>(2.2%)</t>
  </si>
  <si>
    <t>(10.8%)</t>
  </si>
  <si>
    <t>(0.9%)</t>
  </si>
  <si>
    <t>Accounts Receivable, 1 Yr Growth %</t>
  </si>
  <si>
    <t>2.1%</t>
  </si>
  <si>
    <t>2.5%</t>
  </si>
  <si>
    <t>1.2%</t>
  </si>
  <si>
    <t>1.6%</t>
  </si>
  <si>
    <t>6.2%</t>
  </si>
  <si>
    <t>Inventory, 1 Yr Growth %</t>
  </si>
  <si>
    <t>11.9%</t>
  </si>
  <si>
    <t>Net PP&amp;E, 1 Yr Growth %</t>
  </si>
  <si>
    <t>9.2%</t>
  </si>
  <si>
    <t>1.3%</t>
  </si>
  <si>
    <t>5.1%</t>
  </si>
  <si>
    <t>Common Equity, 1 Yr Growth %</t>
  </si>
  <si>
    <t>4.1%</t>
  </si>
  <si>
    <t>11.6%</t>
  </si>
  <si>
    <t>3.7%</t>
  </si>
  <si>
    <t>(2.4%)</t>
  </si>
  <si>
    <t>Total Assets, 1 Yr Growth %</t>
  </si>
  <si>
    <t>4.5%</t>
  </si>
  <si>
    <t>12.3%</t>
  </si>
  <si>
    <t>2.4%</t>
  </si>
  <si>
    <t>0.1%</t>
  </si>
  <si>
    <t>4.8%</t>
  </si>
  <si>
    <t>Tangible Book Value, 1 Yr Growth %</t>
  </si>
  <si>
    <t>9.3%</t>
  </si>
  <si>
    <t>3.9%</t>
  </si>
  <si>
    <t>Cash from Operations, 1 Yr Growth %</t>
  </si>
  <si>
    <t>38.9%</t>
  </si>
  <si>
    <t>(18.6%)</t>
  </si>
  <si>
    <t>37.4%</t>
  </si>
  <si>
    <t>Capital Expenditures, 1 Yr Growth %</t>
  </si>
  <si>
    <t>NM</t>
  </si>
  <si>
    <t>Levered Free Cash Flow, 1 Yr Growth %</t>
  </si>
  <si>
    <t>NA</t>
  </si>
  <si>
    <t>(39.0%)</t>
  </si>
  <si>
    <t>(51.4%)</t>
  </si>
  <si>
    <t>Unlevered Free Cash Flow, 1 Yr Growth %</t>
  </si>
  <si>
    <t>(34.8%)</t>
  </si>
  <si>
    <t>(43.6%)</t>
  </si>
  <si>
    <t>(83.3%)</t>
  </si>
  <si>
    <t>Compound Annual Growth Rate Over Two Years</t>
  </si>
  <si>
    <t>Total Revenue, 2 Yr CAGR %</t>
  </si>
  <si>
    <t>Gross Profit, 2 Yr CAGR %</t>
  </si>
  <si>
    <t>7.1%</t>
  </si>
  <si>
    <t>0.4%</t>
  </si>
  <si>
    <t>(5.0%)</t>
  </si>
  <si>
    <t>(4.9%)</t>
  </si>
  <si>
    <t>EBITDA, 2 Yr CAGR %</t>
  </si>
  <si>
    <t>5.4%</t>
  </si>
  <si>
    <t>(4.3%)</t>
  </si>
  <si>
    <t>(3.9%)</t>
  </si>
  <si>
    <t>EBITA, 2 Yr CAGR %</t>
  </si>
  <si>
    <t>17.3%</t>
  </si>
  <si>
    <t>(5.9%)</t>
  </si>
  <si>
    <t>(5.5%)</t>
  </si>
  <si>
    <t>EBIT, 2 Yr CAGR %</t>
  </si>
  <si>
    <t>9.0%</t>
  </si>
  <si>
    <t>17.4%</t>
  </si>
  <si>
    <t>5.6%</t>
  </si>
  <si>
    <t>(6.0%)</t>
  </si>
  <si>
    <t>Earnings from Cont. Ops., 2 Yr CAGR %</t>
  </si>
  <si>
    <t>(1.3%)</t>
  </si>
  <si>
    <t>8.2%</t>
  </si>
  <si>
    <t>(10.2%)</t>
  </si>
  <si>
    <t>Net Income, 2 Yr CAGR %</t>
  </si>
  <si>
    <t>(5.2%)</t>
  </si>
  <si>
    <t>15.3%</t>
  </si>
  <si>
    <t>9.5%</t>
  </si>
  <si>
    <t>(6.1%)</t>
  </si>
  <si>
    <t>(10.0%)</t>
  </si>
  <si>
    <t>Normalized Net Income, 2 Yr CAGR %</t>
  </si>
  <si>
    <t>13.8%</t>
  </si>
  <si>
    <t>(6.3%)</t>
  </si>
  <si>
    <t>(6.9%)</t>
  </si>
  <si>
    <t>Accounts Receivable, 2 Yr CAGR %</t>
  </si>
  <si>
    <t>2.0%</t>
  </si>
  <si>
    <t>0.8%</t>
  </si>
  <si>
    <t>Inventory, 2 Yr CAGR %</t>
  </si>
  <si>
    <t>6.6%</t>
  </si>
  <si>
    <t>10.8%</t>
  </si>
  <si>
    <t>Net PP&amp;E, 2 Yr CAGR %</t>
  </si>
  <si>
    <t>0.0%</t>
  </si>
  <si>
    <t>Common Equity, 2 Yr CAGR %</t>
  </si>
  <si>
    <t>3.4%</t>
  </si>
  <si>
    <t>0.6%</t>
  </si>
  <si>
    <t>(1.5%)</t>
  </si>
  <si>
    <t>Total Assets, 2 Yr CAGR %</t>
  </si>
  <si>
    <t>(0.0%)</t>
  </si>
  <si>
    <t>Tangible Book Value, 2 Yr CAGR %</t>
  </si>
  <si>
    <t>3.5%</t>
  </si>
  <si>
    <t>7.5%</t>
  </si>
  <si>
    <t>Cash from Operations, 2 Yr CAGR %</t>
  </si>
  <si>
    <t>19.7%</t>
  </si>
  <si>
    <t>27.2%</t>
  </si>
  <si>
    <t>(3.3%)</t>
  </si>
  <si>
    <t>(14.7%)</t>
  </si>
  <si>
    <t>0.7%</t>
  </si>
  <si>
    <t>Capital Expenditures, 2 Yr CAGR %</t>
  </si>
  <si>
    <t>Levered Free Cash Flow, 2 Yr Growth %</t>
  </si>
  <si>
    <t>126.3%</t>
  </si>
  <si>
    <t>(55.1%)</t>
  </si>
  <si>
    <t>12.8%</t>
  </si>
  <si>
    <t>Unlevered Free Cash Flow, 2 Yr Growth %</t>
  </si>
  <si>
    <t>98.3%</t>
  </si>
  <si>
    <t>262.5%</t>
  </si>
  <si>
    <t>(47.1%)</t>
  </si>
  <si>
    <t>(67.8%)</t>
  </si>
  <si>
    <t>Compound Annual Growth Rate Over Three Years</t>
  </si>
  <si>
    <t>Total Revenue, 3 Yr CAGR %</t>
  </si>
  <si>
    <t>4.9%</t>
  </si>
  <si>
    <t>Gross Profit, 3 Yr CAGR %</t>
  </si>
  <si>
    <t>2.2%</t>
  </si>
  <si>
    <t>(3.1%)</t>
  </si>
  <si>
    <t>EBITDA, 3 Yr CAGR %</t>
  </si>
  <si>
    <t>8.3%</t>
  </si>
  <si>
    <t>12.1%</t>
  </si>
  <si>
    <t>EBITA, 3 Yr CAGR %</t>
  </si>
  <si>
    <t>8.1%</t>
  </si>
  <si>
    <t>12.9%</t>
  </si>
  <si>
    <t>1.7%</t>
  </si>
  <si>
    <t>EBIT, 3 Yr CAGR %</t>
  </si>
  <si>
    <t>Earnings from Cont. Ops., 3 Yr CAGR %</t>
  </si>
  <si>
    <t>Net Income, 3 Yr CAGR %</t>
  </si>
  <si>
    <t>(2.1%)</t>
  </si>
  <si>
    <t>Normalized Net Income, 3 Yr CAGR %</t>
  </si>
  <si>
    <t>10.9%</t>
  </si>
  <si>
    <t>1.1%</t>
  </si>
  <si>
    <t>(3.6%)</t>
  </si>
  <si>
    <t>Accounts Receivable, 3 Yr CAGR %</t>
  </si>
  <si>
    <t>Inventory, 3 Yr CAGR %</t>
  </si>
  <si>
    <t>6.1%</t>
  </si>
  <si>
    <t>9.7%</t>
  </si>
  <si>
    <t>Net PP&amp;E, 3 Yr CAGR %</t>
  </si>
  <si>
    <t>3.1%</t>
  </si>
  <si>
    <t>0.3%</t>
  </si>
  <si>
    <t>Common Equity, 3 Yr CAGR %</t>
  </si>
  <si>
    <t>6.8%</t>
  </si>
  <si>
    <t>4.3%</t>
  </si>
  <si>
    <t>Total Assets, 3 Yr CAGR %</t>
  </si>
  <si>
    <t>8.8%</t>
  </si>
  <si>
    <t>1.8%</t>
  </si>
  <si>
    <t>Tangible Book Value, 3 Yr CAGR %</t>
  </si>
  <si>
    <t>Cash from Operations, 3 Yr CAGR %</t>
  </si>
  <si>
    <t>18.7%</t>
  </si>
  <si>
    <t>(5.6%)</t>
  </si>
  <si>
    <t>(4.1%)</t>
  </si>
  <si>
    <t>Capital Expenditures, 3 Yr CAGR %</t>
  </si>
  <si>
    <t>Levered Free Cash Flow, 3 Yr Growth %</t>
  </si>
  <si>
    <t>42.7%</t>
  </si>
  <si>
    <t>40.6%</t>
  </si>
  <si>
    <t>(17.2%)</t>
  </si>
  <si>
    <t>Unlevered Free Cash Flow, 3 Yr Growth %</t>
  </si>
  <si>
    <t>38.7%</t>
  </si>
  <si>
    <t>33.9%</t>
  </si>
  <si>
    <t>77.6%</t>
  </si>
  <si>
    <t>(56.8%)</t>
  </si>
  <si>
    <t>(13.5%)</t>
  </si>
  <si>
    <t xml:space="preserve">Friesland Campina </t>
  </si>
  <si>
    <t>Yakult Vietnam Co Ltd</t>
  </si>
  <si>
    <t>TH Food Chain JSC</t>
  </si>
  <si>
    <t>TH</t>
  </si>
  <si>
    <t>International Dairy Products JSC (IDP)</t>
  </si>
  <si>
    <t>IDP</t>
  </si>
  <si>
    <t xml:space="preserve">Nutifood </t>
  </si>
  <si>
    <t>A&amp;B Foods &amp; Beverage Co Ltd</t>
  </si>
  <si>
    <t>Agro Nutrition International JSC</t>
  </si>
  <si>
    <t xml:space="preserve">Vietnam Dairy Products JSC </t>
  </si>
  <si>
    <t>Date Exported (GMT): 11/28/2023 4:11:51 AM</t>
  </si>
  <si>
    <t xml:space="preserve">International Dairy Products JSC </t>
  </si>
  <si>
    <t>Date Exported (GMT): 12/3/2023 5:26:54 AM</t>
  </si>
  <si>
    <t xml:space="preserve">Vinamilk </t>
  </si>
  <si>
    <t>vnm</t>
  </si>
  <si>
    <t>Yomost (Royal FrieslandCampina NV)</t>
  </si>
  <si>
    <t xml:space="preserve">Susu </t>
  </si>
  <si>
    <t>Yakult (Yakult Honsha Co Ltd)</t>
  </si>
  <si>
    <t>TH True Yogurt</t>
  </si>
  <si>
    <t>Probi</t>
  </si>
  <si>
    <t>KUN (International Dairy Products JSC (IDP))</t>
  </si>
  <si>
    <t>LIF (International Dairy Products JSC (IDP))</t>
  </si>
  <si>
    <t>Ancomilk (Agro Nutrition International JSC)</t>
  </si>
  <si>
    <t>Yo-Yo (A&amp;B Foods &amp; Beverage Co Ltd)</t>
  </si>
  <si>
    <t>Yomost</t>
  </si>
  <si>
    <t>Bel Vietnam Ltd</t>
  </si>
  <si>
    <t>Lactalis, Groupe</t>
  </si>
  <si>
    <t>Bega Cheese Trading Co Pty Ltd</t>
  </si>
  <si>
    <t>Best Cheese Co for Dairy Products SAE</t>
  </si>
  <si>
    <t>Fonterra Brands (Vietnam) Co Ltd</t>
  </si>
  <si>
    <t>Mondelez International Inc</t>
  </si>
  <si>
    <t>Date Exported (GMT): 11/28/2023 8:05:36 AM</t>
  </si>
  <si>
    <t>Market share</t>
  </si>
  <si>
    <t>Coca-Cola Beverages Vietnam Co Ltd</t>
  </si>
  <si>
    <t>Lothamilk JSC</t>
  </si>
  <si>
    <t>Interfood Shareholding Co</t>
  </si>
  <si>
    <t>Mead Johnson Nutrition (Vietnam) Co Ltd</t>
  </si>
  <si>
    <t>Abbott Vietnam Co Ltd</t>
  </si>
  <si>
    <t>Murray Goulburn Co-operative Co Ltd</t>
  </si>
  <si>
    <t>Suntory PepsiCo Vietnam Beverage Co Ltd</t>
  </si>
  <si>
    <t>Hanoi Milk JSC</t>
  </si>
  <si>
    <t>Namyang Dairy Products Co Ltd</t>
  </si>
  <si>
    <t>Casmilk JSC</t>
  </si>
  <si>
    <t>Moc Chau Dairy Cooperative</t>
  </si>
  <si>
    <t xml:space="preserve">Nestlé </t>
  </si>
  <si>
    <t xml:space="preserve">Coca-Cola </t>
  </si>
  <si>
    <t>Averag</t>
  </si>
  <si>
    <t>Coca-Cola Co, The</t>
  </si>
  <si>
    <t>Associated British Foods Plc</t>
  </si>
  <si>
    <t>Bega Cheese Ltd</t>
  </si>
  <si>
    <t>Fonterra Cooperative Group Ltd</t>
  </si>
  <si>
    <t>Reckitt Benckiser Group Plc (RB)</t>
  </si>
  <si>
    <t>Abbott Laboratories Inc</t>
  </si>
  <si>
    <t>Saputo Inc</t>
  </si>
  <si>
    <t>PepsiCo Inc</t>
  </si>
  <si>
    <t>Kirin Holdings Co Ltd</t>
  </si>
  <si>
    <t>Mead Johnson Nutrition Co</t>
  </si>
  <si>
    <t>Date Exported (GMT): 12/1/2023 4:52:29 AM</t>
  </si>
  <si>
    <t>International Dairy Products JSC</t>
  </si>
  <si>
    <t>Drinking milk Vietnam</t>
  </si>
  <si>
    <t>Vinamilk (Vietnam Dairy Products JSC (Vinamilk))</t>
  </si>
  <si>
    <t>TH True Milk (TH Food Chain JSC)</t>
  </si>
  <si>
    <t>Milo (Nestlé SA)</t>
  </si>
  <si>
    <t>Nutriboost (Coca-Cola Co, The)</t>
  </si>
  <si>
    <t>Lothamilk (Lothamilk JSC)</t>
  </si>
  <si>
    <t>Ovaltine (Associated British Foods Plc)</t>
  </si>
  <si>
    <t>Dalat Milk (TH Food Chain JSC)</t>
  </si>
  <si>
    <t>NutiMilk (Nutifood Nutrition Food JSC)</t>
  </si>
  <si>
    <t>Fristi (Royal FrieslandCampina NV)</t>
  </si>
  <si>
    <t>Latte (Bega Cheese Ltd)</t>
  </si>
  <si>
    <t>Anlene (Fonterra Cooperative Group Ltd)</t>
  </si>
  <si>
    <t>TH True Nut (TH Food Chain JSC)</t>
  </si>
  <si>
    <t>Enfamama (Reckitt Benckiser Group Plc (RB))</t>
  </si>
  <si>
    <t>Similac (Abbott Laboratories Inc)</t>
  </si>
  <si>
    <t>Dielac (Vietnam Dairy Products JSC (Vinamilk))</t>
  </si>
  <si>
    <t>Devondale (Saputo Inc)</t>
  </si>
  <si>
    <t>Moc Chau (Vietnam Dairy Products JSC (Vinamilk))</t>
  </si>
  <si>
    <t>Tropicana (PepsiCo Inc)</t>
  </si>
  <si>
    <t>Izzi (Hanoi Milk JSC)</t>
  </si>
  <si>
    <t>Frisomum (Royal FrieslandCampina NV)</t>
  </si>
  <si>
    <t>XO (Namyang Dairy Products Co Ltd)</t>
  </si>
  <si>
    <t>Anmum (Fonterra Cooperative Group Ltd)</t>
  </si>
  <si>
    <t>Casmilk (Casmilk JSC)</t>
  </si>
  <si>
    <t>Devondale (Murray Goulburn Co-operative Co Ltd)</t>
  </si>
  <si>
    <t>Enfamama (Mead Johnson Nutrition Co)</t>
  </si>
  <si>
    <t>Latte (Kirin Holdings Co Ltd)</t>
  </si>
  <si>
    <t>Moc Chau (Moc Chau Dairy Cooperative)</t>
  </si>
  <si>
    <t>Date Exported (GMT): 12/5/2023 5:54:15 AM</t>
  </si>
  <si>
    <t xml:space="preserve">Dielac </t>
  </si>
  <si>
    <t xml:space="preserve">Moc Chau </t>
  </si>
  <si>
    <t xml:space="preserve">TH True Milk </t>
  </si>
  <si>
    <t xml:space="preserve">Dalat Milk </t>
  </si>
  <si>
    <t xml:space="preserve">TH True Nut </t>
  </si>
  <si>
    <t>kg/con/ngay vnm</t>
  </si>
  <si>
    <t>nang suat sua binh quan tai cac trang trai</t>
  </si>
  <si>
    <t>vn</t>
  </si>
  <si>
    <t>Farmer-cooperative</t>
  </si>
  <si>
    <t>Productivity</t>
  </si>
  <si>
    <t>Abbott</t>
  </si>
  <si>
    <t xml:space="preserve">Mead Johnson </t>
  </si>
  <si>
    <t>Hipp GmbH &amp; Co Vertrieb KG</t>
  </si>
  <si>
    <t>Meiji Holdings Co Ltd</t>
  </si>
  <si>
    <t>Glico Dairy Products Co Ltd</t>
  </si>
  <si>
    <t>Viet Nam VitaDairy Milk JSC</t>
  </si>
  <si>
    <t>Saigon Foods Co</t>
  </si>
  <si>
    <t>Danone Dumex Vietnam Co Ltd</t>
  </si>
  <si>
    <t>Date Exported (GMT): 11/28/2023 3:50:10 AM</t>
  </si>
  <si>
    <t>Market Sizes | Historical | Year-on-year growth (%)</t>
  </si>
  <si>
    <t>2017 - 2018</t>
  </si>
  <si>
    <t>2018 - 2019</t>
  </si>
  <si>
    <t>2019 - 2020</t>
  </si>
  <si>
    <t>2020 - 2021</t>
  </si>
  <si>
    <t>2021 - 2022</t>
  </si>
  <si>
    <t>2022 - 2023</t>
  </si>
  <si>
    <t>Date Exported (GMT): 12/1/2023 1:35:58 PM</t>
  </si>
  <si>
    <t>VNM revenue</t>
  </si>
  <si>
    <t>Share</t>
  </si>
  <si>
    <t>Ezaki Glico Co Ltd</t>
  </si>
  <si>
    <t>Danone, Groupe</t>
  </si>
  <si>
    <t>Date Exported (GMT): 12/2/2023 6:31:05 AM</t>
  </si>
  <si>
    <t>Dielac</t>
  </si>
  <si>
    <t>Similac</t>
  </si>
  <si>
    <t xml:space="preserve">Nan </t>
  </si>
  <si>
    <t>Ridielac</t>
  </si>
  <si>
    <t xml:space="preserve">PediaSure </t>
  </si>
  <si>
    <t>Friso (Royal FrieslandCampina NV)</t>
  </si>
  <si>
    <t>GrowPLUS+ (Nutifood Nutrition Food JSC)</t>
  </si>
  <si>
    <t>Enfagrow (Reckitt Benckiser Group Plc (RB))</t>
  </si>
  <si>
    <t>Cerelac</t>
  </si>
  <si>
    <t xml:space="preserve">Grow </t>
  </si>
  <si>
    <t>Enfamil (Reckitt Benckiser Group Plc (RB))</t>
  </si>
  <si>
    <t>Hipp (Hipp GmbH &amp; Co Vertrieb KG)</t>
  </si>
  <si>
    <t>Meiji (Meiji Holdings Co Ltd)</t>
  </si>
  <si>
    <t>Icreo (Ezaki Glico Co Ltd)</t>
  </si>
  <si>
    <t>Colosbaby (Viet Nam VitaDairy Milk JSC)</t>
  </si>
  <si>
    <t>Optimum Gold</t>
  </si>
  <si>
    <t>SG food (Saigon Foods Co)</t>
  </si>
  <si>
    <t>Dumex (Danone, Groupe)</t>
  </si>
  <si>
    <t>Dutch Baby (Royal FrieslandCampina NV)</t>
  </si>
  <si>
    <t>Enfagrow (Mead Johnson Nutrition Co)</t>
  </si>
  <si>
    <t>Enfamil (Mead Johnson Nutrition Co)</t>
  </si>
  <si>
    <t>Gain (Abbott Laboratories Inc)</t>
  </si>
  <si>
    <t xml:space="preserve">Lactogen </t>
  </si>
  <si>
    <t>Nestlé Gau (Nestlé SA)</t>
  </si>
  <si>
    <t>Date Exported (GMT): 12/5/2023 7:04:23 AM</t>
  </si>
  <si>
    <t>Market profile</t>
  </si>
  <si>
    <t>Closing Price</t>
  </si>
  <si>
    <t>52-Week Price Range</t>
  </si>
  <si>
    <t>VND 68,000-106,900</t>
  </si>
  <si>
    <t>52-Week Average Daily Volume</t>
  </si>
  <si>
    <t>Market Capitalization</t>
  </si>
  <si>
    <t>Target Price Breakdown</t>
  </si>
  <si>
    <t>Valuation Method</t>
  </si>
  <si>
    <t>Price (VND)</t>
  </si>
  <si>
    <t>Weight</t>
  </si>
  <si>
    <t>Target Price</t>
  </si>
  <si>
    <t>Upside</t>
  </si>
  <si>
    <t>Recommendation</t>
  </si>
  <si>
    <t>Vietnam Soy Milk Co Ltd (Vinasoy)</t>
  </si>
  <si>
    <t>Tribeco Binh Duong Co Ltd</t>
  </si>
  <si>
    <t>Tan Hiep Phat Group</t>
  </si>
  <si>
    <t>Simple Foods Co Ltd</t>
  </si>
  <si>
    <t>Woongjin Food Co Ltd</t>
  </si>
  <si>
    <t>Freedom Foods Group Ltd</t>
  </si>
  <si>
    <t>Pacific Foods of Oregon Inc</t>
  </si>
  <si>
    <t>Dr Chung's Food Co Ltd</t>
  </si>
  <si>
    <t>Date Exported (GMT): 11/28/2023 4:53:14 AM</t>
  </si>
  <si>
    <t>Corn</t>
  </si>
  <si>
    <t>Soybean</t>
  </si>
  <si>
    <t>Weat</t>
  </si>
  <si>
    <t>Period End FX Rate (JPY/VND)</t>
  </si>
  <si>
    <t>(8.3%) </t>
  </si>
  <si>
    <t>7.9% </t>
  </si>
  <si>
    <t>0.5% </t>
  </si>
  <si>
    <t>1.0% </t>
  </si>
  <si>
    <t>1.2% </t>
  </si>
  <si>
    <t>5.1% </t>
  </si>
  <si>
    <t>29.5% </t>
  </si>
  <si>
    <t>1.9% </t>
  </si>
  <si>
    <t>(0.9%) </t>
  </si>
  <si>
    <t>1.16 </t>
  </si>
  <si>
    <t>(6.9%) </t>
  </si>
  <si>
    <t>(15.9%) </t>
  </si>
  <si>
    <t>0.9% </t>
  </si>
  <si>
    <t>5.5% </t>
  </si>
  <si>
    <t>4.8% </t>
  </si>
  <si>
    <t>1.83 </t>
  </si>
  <si>
    <t>(2.9%) </t>
  </si>
  <si>
    <t>(6.8%) </t>
  </si>
  <si>
    <t>2.8% </t>
  </si>
  <si>
    <t>10.2% </t>
  </si>
  <si>
    <t>(12.7%) </t>
  </si>
  <si>
    <t>0.68 </t>
  </si>
  <si>
    <t>(2.5%) </t>
  </si>
  <si>
    <t>3.0% </t>
  </si>
  <si>
    <t>1.6% </t>
  </si>
  <si>
    <t>7.1% </t>
  </si>
  <si>
    <t>2.1% </t>
  </si>
  <si>
    <t>6.9% </t>
  </si>
  <si>
    <t>(8.8%) </t>
  </si>
  <si>
    <t>0.65 </t>
  </si>
  <si>
    <t>(3.1%) </t>
  </si>
  <si>
    <t>9.5% </t>
  </si>
  <si>
    <t>(15.0%) </t>
  </si>
  <si>
    <t>4.4% </t>
  </si>
  <si>
    <t>(8.9%) </t>
  </si>
  <si>
    <t>1.12 </t>
  </si>
  <si>
    <t>7.8% </t>
  </si>
  <si>
    <t>(10.6%) </t>
  </si>
  <si>
    <t>20.2% </t>
  </si>
  <si>
    <t>7.0% </t>
  </si>
  <si>
    <t>1.77 </t>
  </si>
  <si>
    <t>9.9% </t>
  </si>
  <si>
    <t>12.5% </t>
  </si>
  <si>
    <t>10.7% </t>
  </si>
  <si>
    <t>34.4 </t>
  </si>
  <si>
    <t>10.4% </t>
  </si>
  <si>
    <t>18.2% </t>
  </si>
  <si>
    <t>14.6% </t>
  </si>
  <si>
    <t>(15.5%) </t>
  </si>
  <si>
    <t>68.1 </t>
  </si>
  <si>
    <t>14.3% </t>
  </si>
  <si>
    <t>14.7% </t>
  </si>
  <si>
    <t>15.5% </t>
  </si>
  <si>
    <t>0.17 </t>
  </si>
  <si>
    <t>(10.0%) </t>
  </si>
  <si>
    <t>11.1% </t>
  </si>
  <si>
    <t>(14.0%) </t>
  </si>
  <si>
    <t>(6.2%) </t>
  </si>
  <si>
    <t>(17.1%) </t>
  </si>
  <si>
    <t>0.15 </t>
  </si>
  <si>
    <t>(10.3%) </t>
  </si>
  <si>
    <t>9.2% </t>
  </si>
  <si>
    <t>(20.1%) </t>
  </si>
  <si>
    <t>(18.1%) </t>
  </si>
  <si>
    <t>9.0% </t>
  </si>
  <si>
    <t>7.4 </t>
  </si>
  <si>
    <t>(10.8%) </t>
  </si>
  <si>
    <t>1.1% </t>
  </si>
  <si>
    <t>(14.9%) </t>
  </si>
  <si>
    <t>49.6 </t>
  </si>
  <si>
    <t>17.5% </t>
  </si>
  <si>
    <t>5.7 </t>
  </si>
  <si>
    <t>(5.7%) </t>
  </si>
  <si>
    <t>(11.2%) </t>
  </si>
  <si>
    <t>(6.3%) </t>
  </si>
  <si>
    <t>(4.3%) </t>
  </si>
  <si>
    <t>63.9 </t>
  </si>
  <si>
    <t>6.1% </t>
  </si>
  <si>
    <t>12.6% </t>
  </si>
  <si>
    <t>6.7% </t>
  </si>
  <si>
    <t>3.8% </t>
  </si>
  <si>
    <t>42.6 </t>
  </si>
  <si>
    <t>3.4% </t>
  </si>
  <si>
    <t>3.24 </t>
  </si>
  <si>
    <t>(13.1%) </t>
  </si>
  <si>
    <t>5.7% </t>
  </si>
  <si>
    <t>0.2% </t>
  </si>
  <si>
    <t>VND21,602,984,073.5</t>
  </si>
  <si>
    <t>VND20,119,526,130.2</t>
  </si>
  <si>
    <t>VND20,830,359,149.0</t>
  </si>
  <si>
    <t>VND18,465,695,850.0</t>
  </si>
  <si>
    <t>VND13,784,033,546.4</t>
  </si>
  <si>
    <t>VND13,375,410,855.6</t>
  </si>
  <si>
    <t>1.5% </t>
  </si>
  <si>
    <t>(25.4%) </t>
  </si>
  <si>
    <t>Vietnam Dairy Products JSC | Balance Sheet                                11-Oct-2023 11:41</t>
  </si>
  <si>
    <t>Other Current Assets</t>
  </si>
  <si>
    <t>Other Long Term Assets</t>
  </si>
  <si>
    <t>Long Term Debt Maturing within 1 Year</t>
  </si>
  <si>
    <t>Long Term Debt Maturing in Year 2</t>
  </si>
  <si>
    <t>Long Term Debt Maturing in Year 3</t>
  </si>
  <si>
    <t>Long Term Debt Maturing in Year 4</t>
  </si>
  <si>
    <t>Long Term Debt Maturing in Year 5</t>
  </si>
  <si>
    <t>Long Term Debt Maturing in 2-3 Years</t>
  </si>
  <si>
    <t>Long Term Debt Maturing in 4-5 Years</t>
  </si>
  <si>
    <t>Long Term Debt Matur. in Year 6 &amp; Beyond</t>
  </si>
  <si>
    <t>Hatsun Agro Product Ltd | Ratios - Key Metrics                                04-Dec-2023 20:14</t>
  </si>
  <si>
    <t>Period End FX Rate (INR/VND)</t>
  </si>
  <si>
    <t>2.3% </t>
  </si>
  <si>
    <t>5.2% </t>
  </si>
  <si>
    <t>(22.7%) </t>
  </si>
  <si>
    <t>(6.1%) </t>
  </si>
  <si>
    <t>(3.8%) </t>
  </si>
  <si>
    <t>(11.0%) </t>
  </si>
  <si>
    <t>7.6% </t>
  </si>
  <si>
    <t>(4.5%) </t>
  </si>
  <si>
    <t>22.0% </t>
  </si>
  <si>
    <t>(49.8%) </t>
  </si>
  <si>
    <t>(19.5%) </t>
  </si>
  <si>
    <t>(26.1%) </t>
  </si>
  <si>
    <t>(9.2%) </t>
  </si>
  <si>
    <t>23.7% </t>
  </si>
  <si>
    <t>(12.5%) </t>
  </si>
  <si>
    <t>(11.9%) </t>
  </si>
  <si>
    <t>14.0% </t>
  </si>
  <si>
    <t>6.3% </t>
  </si>
  <si>
    <t>(21.3%) </t>
  </si>
  <si>
    <t>(5.8%) </t>
  </si>
  <si>
    <t>(62.8%) </t>
  </si>
  <si>
    <t>(56.0%) </t>
  </si>
  <si>
    <t>(54.0%) </t>
  </si>
  <si>
    <t>(33.1%) </t>
  </si>
  <si>
    <t>13.1% </t>
  </si>
  <si>
    <t>(34.9%) </t>
  </si>
  <si>
    <t>66.5% </t>
  </si>
  <si>
    <t>(13.6%) </t>
  </si>
  <si>
    <t>(13.4%) </t>
  </si>
  <si>
    <t>22.7% </t>
  </si>
  <si>
    <t>(11.3%) </t>
  </si>
  <si>
    <t>35.9% </t>
  </si>
  <si>
    <t>(13.5%) </t>
  </si>
  <si>
    <t>(32.6%) </t>
  </si>
  <si>
    <t>26.7% </t>
  </si>
  <si>
    <t>(18.0%) </t>
  </si>
  <si>
    <t>94.5% </t>
  </si>
  <si>
    <t>(17.2%) </t>
  </si>
  <si>
    <t>(30.4%) </t>
  </si>
  <si>
    <t>36.5% </t>
  </si>
  <si>
    <t>34.8% </t>
  </si>
  <si>
    <t>(64.1%) </t>
  </si>
  <si>
    <t>24.1% </t>
  </si>
  <si>
    <t>(28.8%) </t>
  </si>
  <si>
    <t>(8.1%) </t>
  </si>
  <si>
    <t>44.2% </t>
  </si>
  <si>
    <t>(13.8%) </t>
  </si>
  <si>
    <t>(14.4%) </t>
  </si>
  <si>
    <t>30.2% </t>
  </si>
  <si>
    <t>7.2% </t>
  </si>
  <si>
    <t>(10.4%) </t>
  </si>
  <si>
    <t>3.3% </t>
  </si>
  <si>
    <t>85.0% </t>
  </si>
  <si>
    <t>20.7% </t>
  </si>
  <si>
    <t>11.7% </t>
  </si>
  <si>
    <t>(45.9%) </t>
  </si>
  <si>
    <t>13.9% </t>
  </si>
  <si>
    <t>17.9% </t>
  </si>
  <si>
    <t>(15.2%) </t>
  </si>
  <si>
    <t>10.3% </t>
  </si>
  <si>
    <t>(18.6%) </t>
  </si>
  <si>
    <t>(30.0%) </t>
  </si>
  <si>
    <t>(7.4%) </t>
  </si>
  <si>
    <t>N/A </t>
  </si>
  <si>
    <t>(2.8%) </t>
  </si>
  <si>
    <t>VND2,963,445,407.3</t>
  </si>
  <si>
    <t>VND3,153,789,983.2</t>
  </si>
  <si>
    <t>VND3,390,586,255.6</t>
  </si>
  <si>
    <t>VND3,889,331,714.5</t>
  </si>
  <si>
    <t>VND4,511,132,980.2</t>
  </si>
  <si>
    <t>VND4,279,784,826.3</t>
  </si>
  <si>
    <t>16.0% </t>
  </si>
  <si>
    <t>8.1% </t>
  </si>
  <si>
    <t>(23.5%) </t>
  </si>
  <si>
    <t>41.0% </t>
  </si>
  <si>
    <t>14.8% </t>
  </si>
  <si>
    <t>17.6% </t>
  </si>
  <si>
    <t>(24.4%) </t>
  </si>
  <si>
    <t>41.5% </t>
  </si>
  <si>
    <t>13.6% </t>
  </si>
  <si>
    <t>17.0% </t>
  </si>
  <si>
    <t>18.0% </t>
  </si>
  <si>
    <t>(28.7%) </t>
  </si>
  <si>
    <t>26.6% </t>
  </si>
  <si>
    <t>35.7% </t>
  </si>
  <si>
    <t>26.8% </t>
  </si>
  <si>
    <t>(14.7%) </t>
  </si>
  <si>
    <t>8.9% </t>
  </si>
  <si>
    <t>16.2% </t>
  </si>
  <si>
    <t>18.6% </t>
  </si>
  <si>
    <t>(22.1%) </t>
  </si>
  <si>
    <t>(23.9%) </t>
  </si>
  <si>
    <t>6.0% </t>
  </si>
  <si>
    <t>(6.4%) </t>
  </si>
  <si>
    <t>5.3% </t>
  </si>
  <si>
    <t>10.5% </t>
  </si>
  <si>
    <t>VND3,402,690,943.8</t>
  </si>
  <si>
    <t>VND3,198,830,035.7</t>
  </si>
  <si>
    <t>VND3,203,203,846.5</t>
  </si>
  <si>
    <t>VND2,811,375,014.6</t>
  </si>
  <si>
    <t>VND2,683,801,678.3</t>
  </si>
  <si>
    <t>VND2,884,308,188.2</t>
  </si>
  <si>
    <t>China Feihe Ltd | Ratios - Key Metrics                                04-Dec-2023 19:48</t>
  </si>
  <si>
    <t>Period End FX Rate (CNY/VND)</t>
  </si>
  <si>
    <t>10.8% </t>
  </si>
  <si>
    <t>11.6% </t>
  </si>
  <si>
    <t>25.7% </t>
  </si>
  <si>
    <t>3.6% </t>
  </si>
  <si>
    <t>11.3% </t>
  </si>
  <si>
    <t>(28.5%) </t>
  </si>
  <si>
    <t>(8.0%) </t>
  </si>
  <si>
    <t>(16.5%) </t>
  </si>
  <si>
    <t>(12.4%) </t>
  </si>
  <si>
    <t>24.7% </t>
  </si>
  <si>
    <t>(7.6%) </t>
  </si>
  <si>
    <t>(14.3%) </t>
  </si>
  <si>
    <t>(20.3%) </t>
  </si>
  <si>
    <t>0.71 </t>
  </si>
  <si>
    <t>8.5% </t>
  </si>
  <si>
    <t>14.9% </t>
  </si>
  <si>
    <t>(12.8%) </t>
  </si>
  <si>
    <t>(44.1%) </t>
  </si>
  <si>
    <t>50.3% </t>
  </si>
  <si>
    <t>(19.2%) </t>
  </si>
  <si>
    <t>17.2% </t>
  </si>
  <si>
    <t>0.92 </t>
  </si>
  <si>
    <t>63.5% </t>
  </si>
  <si>
    <t>8.8% </t>
  </si>
  <si>
    <t>8.2% </t>
  </si>
  <si>
    <t>1.46 </t>
  </si>
  <si>
    <t>54.9% </t>
  </si>
  <si>
    <t>12.3% </t>
  </si>
  <si>
    <t>13.4 </t>
  </si>
  <si>
    <t>44.0% </t>
  </si>
  <si>
    <t>(39.0%) </t>
  </si>
  <si>
    <t>62.2 </t>
  </si>
  <si>
    <t>23.9% </t>
  </si>
  <si>
    <t>(79.2%) </t>
  </si>
  <si>
    <t>(33.5%) </t>
  </si>
  <si>
    <t>17.8% </t>
  </si>
  <si>
    <t>(0.11) </t>
  </si>
  <si>
    <t>18.9 </t>
  </si>
  <si>
    <t>88.1% </t>
  </si>
  <si>
    <t>43.7% </t>
  </si>
  <si>
    <t>19.3 </t>
  </si>
  <si>
    <t>(46.8%) </t>
  </si>
  <si>
    <t>8.7% </t>
  </si>
  <si>
    <t>25.2% </t>
  </si>
  <si>
    <t>4.8 </t>
  </si>
  <si>
    <t>(13.2%) </t>
  </si>
  <si>
    <t>75.5 </t>
  </si>
  <si>
    <t>17.7% </t>
  </si>
  <si>
    <t>13.7% </t>
  </si>
  <si>
    <t>30.9 </t>
  </si>
  <si>
    <t>(4.2%) </t>
  </si>
  <si>
    <t>14.1% </t>
  </si>
  <si>
    <t>(16.1%) </t>
  </si>
  <si>
    <t>16.3% </t>
  </si>
  <si>
    <t>3.38 </t>
  </si>
  <si>
    <t>(25.3%) </t>
  </si>
  <si>
    <t>(15.8%) </t>
  </si>
  <si>
    <t>28.1% </t>
  </si>
  <si>
    <t>(14.1%) </t>
  </si>
  <si>
    <t>15.0% </t>
  </si>
  <si>
    <t>(9.8%) </t>
  </si>
  <si>
    <t>VND9,969,836,601.8</t>
  </si>
  <si>
    <t>VND9,934,686,780.7</t>
  </si>
  <si>
    <t>VND7,852,535,659.3</t>
  </si>
  <si>
    <t>(21.0%) </t>
  </si>
  <si>
    <t>(3.9%) </t>
  </si>
  <si>
    <t>5.4% </t>
  </si>
  <si>
    <t>8.0% </t>
  </si>
  <si>
    <t>(9.4%) </t>
  </si>
  <si>
    <t>13.2% </t>
  </si>
  <si>
    <t>61.1% </t>
  </si>
  <si>
    <t>(11.1%) </t>
  </si>
  <si>
    <t>13.5% </t>
  </si>
  <si>
    <t>(23.8%) </t>
  </si>
  <si>
    <t>13.4% </t>
  </si>
  <si>
    <t>79.6% </t>
  </si>
  <si>
    <t>34.9% </t>
  </si>
  <si>
    <t>(50.0%) </t>
  </si>
  <si>
    <t>20.8% </t>
  </si>
  <si>
    <t>37.2% </t>
  </si>
  <si>
    <t>(41.7%) </t>
  </si>
  <si>
    <t>6.2% </t>
  </si>
  <si>
    <t>(9.3%) </t>
  </si>
  <si>
    <t>94.9% </t>
  </si>
  <si>
    <t>(90.1%) </t>
  </si>
  <si>
    <t>19.1% </t>
  </si>
  <si>
    <t>(20.9%) </t>
  </si>
  <si>
    <t>10.0% </t>
  </si>
  <si>
    <t>26.5% </t>
  </si>
  <si>
    <t>VND7,600,650,232.4</t>
  </si>
  <si>
    <t>VND6,034,339,428.4</t>
  </si>
  <si>
    <t>VND7,450,188,376.3</t>
  </si>
  <si>
    <t>VND8,798,649,227.3</t>
  </si>
  <si>
    <t>VND7,893,690,336.0</t>
  </si>
  <si>
    <t>(44.6%) </t>
  </si>
  <si>
    <t>(20.6%) </t>
  </si>
  <si>
    <t>23.5% </t>
  </si>
  <si>
    <t>18.1% </t>
  </si>
  <si>
    <t>billion vnd</t>
  </si>
  <si>
    <t>Revenue growth</t>
  </si>
  <si>
    <t>Market Sizes | Historical</t>
  </si>
  <si>
    <t>Date Exported (GMT): 11/30/2023 9:15:15 AM</t>
  </si>
  <si>
    <t>VNM.HM | Statement App | 1</t>
  </si>
  <si>
    <t>30-Nov-2023</t>
  </si>
  <si>
    <t>Mean | Annual</t>
  </si>
  <si>
    <t>Consolidated | VND</t>
  </si>
  <si>
    <t>Next Earning Report</t>
  </si>
  <si>
    <t>29-Jan-2024</t>
  </si>
  <si>
    <t/>
  </si>
  <si>
    <t>HISTORICAL (ACTUALS)</t>
  </si>
  <si>
    <t>FORECAST (MEAN)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</si>
  <si>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</si>
  <si>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</si>
  <si>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</si>
  <si>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</si>
  <si>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</si>
  <si>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</si>
  <si>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</si>
  <si>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</si>
  <si>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</si>
  <si>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FY Dec-27</t>
  </si>
  <si>
    <t>REVENUE</t>
  </si>
  <si>
    <t>CASH EPS</t>
  </si>
  <si>
    <t>NET ASSET VALUE</t>
  </si>
  <si>
    <t>NET ASSET VALUE PER SHARE</t>
  </si>
  <si>
    <t>NET DEBT</t>
  </si>
  <si>
    <t>TOTAL ASSETS</t>
  </si>
  <si>
    <t>TOTAL DEBT</t>
  </si>
  <si>
    <t>TOTAL DEPOSITS</t>
  </si>
  <si>
    <t>VALUE OF NEW BUSINESS</t>
  </si>
  <si>
    <t>RETURN ON ASSETS</t>
  </si>
  <si>
    <t>RETURN ON EQUITY</t>
  </si>
  <si>
    <t>EARNINGS PER SHARE</t>
  </si>
  <si>
    <t>BOOK VALUE PER SHARE</t>
  </si>
  <si>
    <t>Tuong An Vegetable Oil JSC</t>
  </si>
  <si>
    <t>Cai Lan Oils &amp; Fats Industries Co Ltd</t>
  </si>
  <si>
    <t>New Viet Dairy JSC</t>
  </si>
  <si>
    <t>Date Exported (GMT): 11/28/2023 8:07:31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</si>
</sst>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,#00"/>
    <numFmt numFmtId="165" formatCode="#,##0.0"/>
    <numFmt numFmtId="166" formatCode="_(* #,##0_);_(* \(#,##0\);_(* &quot;-&quot;??_);_(@_)"/>
    <numFmt numFmtId="167" formatCode="0.000"/>
    <numFmt numFmtId="168" formatCode="0.000%"/>
    <numFmt numFmtId="169" formatCode="#,##0.000000_);[Red]\(#,##0.000000\)"/>
    <numFmt numFmtId="170" formatCode="0.0%;[Red]\(0.0%\)"/>
    <numFmt numFmtId="171" formatCode="#,##0.0_);[Red]\(#,##0.0\)"/>
    <numFmt numFmtId="172" formatCode="##,#00.0000"/>
    <numFmt numFmtId="173" formatCode="##,#00.000000"/>
    <numFmt numFmtId="174" formatCode="0.00%;[Red]\(0.00%\)"/>
    <numFmt numFmtId="175" formatCode="0%;[Red]\(0%\)"/>
    <numFmt numFmtId="176" formatCode="#,##0.000_);[Red]\(#,##0.000\)"/>
    <numFmt numFmtId="177" formatCode="0.000000"/>
    <numFmt numFmtId="178" formatCode="#,##0.000000"/>
    <numFmt numFmtId="179" formatCode="0.0%"/>
    <numFmt numFmtId="180" formatCode="0.0000000000%"/>
    <numFmt numFmtId="181" formatCode="0.0000%"/>
    <numFmt numFmtId="182" formatCode="_(* #,##0.0_);_(* \(#,##0.0\);_(* &quot;-&quot;??_);_(@_)"/>
    <numFmt numFmtId="183" formatCode="_(* #,##0.000_);_(* \(#,##0.000\);_(* &quot;-&quot;??_);_(@_)"/>
    <numFmt numFmtId="184" formatCode="0.00000000000000%"/>
    <numFmt numFmtId="185" formatCode="_(* #,##0.00000_);_(* \(#,##0.00000\);_(* &quot;-&quot;??_);_(@_)"/>
    <numFmt numFmtId="186" formatCode="_(\ #,##0.00_);_(\ \(#,##0.00\);_(\ &quot;-&quot;??_);_(@_)"/>
    <numFmt numFmtId="187" formatCode="0.0000000%"/>
    <numFmt numFmtId="188" formatCode="0.0000000000000000000"/>
  </numFmts>
  <fonts count="74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rgb="FF595959"/>
      <name val="Arial"/>
      <family val="2"/>
    </font>
    <font>
      <b/>
      <sz val="10"/>
      <color rgb="FF595959"/>
      <name val="Arial"/>
      <family val="2"/>
    </font>
    <font>
      <b/>
      <sz val="10"/>
      <color indexed="8"/>
      <name val="Arial"/>
      <family val="2"/>
    </font>
    <font>
      <i/>
      <sz val="10"/>
      <color rgb="FF59595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333333"/>
      <name val="Calibri"/>
      <family val="2"/>
      <scheme val="minor"/>
    </font>
    <font>
      <b/>
      <sz val="7"/>
      <color rgb="FFFFFFFF"/>
      <name val="Calibri"/>
      <family val="2"/>
      <scheme val="minor"/>
    </font>
    <font>
      <b/>
      <sz val="7"/>
      <color rgb="FF000000"/>
      <name val="Calibri"/>
      <family val="2"/>
      <scheme val="minor"/>
    </font>
    <font>
      <i/>
      <sz val="10"/>
      <color rgb="FF4E6702"/>
      <name val="Calibri"/>
      <family val="2"/>
      <scheme val="minor"/>
    </font>
    <font>
      <sz val="10"/>
      <color rgb="FFDC0A0A"/>
      <name val="Calibri"/>
      <family val="2"/>
      <scheme val="minor"/>
    </font>
    <font>
      <sz val="1"/>
      <color indexed="9"/>
      <name val="Symbol"/>
      <family val="1"/>
      <charset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0"/>
      <name val="Times New Roman"/>
      <family val="1"/>
    </font>
    <font>
      <sz val="6"/>
      <color rgb="FF333333"/>
      <name val="Arial"/>
      <family val="2"/>
    </font>
    <font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7" tint="-0.499984740745262"/>
      <name val="Times New Roman"/>
      <family val="1"/>
    </font>
    <font>
      <b/>
      <sz val="12"/>
      <color theme="7" tint="-0.499984740745262"/>
      <name val="Times New Roman"/>
      <family val="1"/>
    </font>
    <font>
      <i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theme="7" tint="-0.499984740745262"/>
      <name val="Calibri"/>
      <family val="2"/>
      <scheme val="minor"/>
    </font>
    <font>
      <b/>
      <sz val="9"/>
      <color theme="7" tint="-0.499984740745262"/>
      <name val="Calibri"/>
      <family val="2"/>
      <scheme val="minor"/>
    </font>
    <font>
      <sz val="27"/>
      <color rgb="FF202124"/>
      <name val="Arial"/>
      <family val="2"/>
    </font>
    <font>
      <sz val="1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BC4EA"/>
        <bgColor rgb="FF000000"/>
      </patternFill>
    </fill>
    <fill>
      <patternFill patternType="solid">
        <fgColor rgb="FFF5F6FA"/>
        <bgColor rgb="FF000000"/>
      </patternFill>
    </fill>
    <fill>
      <patternFill patternType="solid">
        <fgColor rgb="FFE9EFF6"/>
        <bgColor rgb="FF000000"/>
      </patternFill>
    </fill>
    <fill>
      <patternFill patternType="solid">
        <fgColor rgb="FFF2F4F9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C8D7D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/>
      <bottom style="medium">
        <color rgb="FFE5EBF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C1C1C1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BABABA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EEEEEE"/>
      </bottom>
      <diagonal/>
    </border>
    <border>
      <left/>
      <right/>
      <top style="medium">
        <color rgb="FFFFFFFF"/>
      </top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1" fillId="2" borderId="0" applyNumberFormat="0" applyBorder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164" fontId="4" fillId="0" borderId="0" applyFill="0" applyBorder="0" applyProtection="0">
      <alignment horizontal="right" vertical="center"/>
    </xf>
    <xf numFmtId="0" fontId="3" fillId="0" borderId="0" applyNumberFormat="0" applyFont="0" applyFill="0" applyBorder="0" applyProtection="0">
      <alignment horizontal="center" vertical="center"/>
    </xf>
    <xf numFmtId="0" fontId="3" fillId="0" borderId="0">
      <alignment vertical="center"/>
    </xf>
    <xf numFmtId="165" fontId="4" fillId="0" borderId="0" applyFill="0" applyBorder="0" applyProtection="0">
      <alignment horizontal="right" vertical="center"/>
    </xf>
    <xf numFmtId="1" fontId="4" fillId="0" borderId="0" applyFill="0" applyBorder="0" applyProtection="0">
      <alignment horizontal="right" vertical="center"/>
    </xf>
    <xf numFmtId="0" fontId="7" fillId="0" borderId="0" applyNumberFormat="0" applyFill="0" applyBorder="0" applyProtection="0">
      <alignment horizontal="right" vertical="center"/>
    </xf>
    <xf numFmtId="0" fontId="3" fillId="0" borderId="0" applyNumberFormat="0" applyFill="0" applyBorder="0" applyProtection="0">
      <alignment horizontal="right" vertical="center"/>
    </xf>
    <xf numFmtId="0" fontId="3" fillId="4" borderId="0" applyNumberFormat="0" applyFont="0" applyBorder="0" applyAlignment="0" applyProtection="0">
      <alignment vertical="center"/>
    </xf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9" fillId="16" borderId="0" applyNumberFormat="0" applyBorder="0" applyAlignment="0" applyProtection="0"/>
    <xf numFmtId="0" fontId="20" fillId="17" borderId="12" applyNumberFormat="0" applyAlignment="0" applyProtection="0"/>
    <xf numFmtId="0" fontId="21" fillId="18" borderId="13" applyNumberFormat="0" applyAlignment="0" applyProtection="0"/>
    <xf numFmtId="0" fontId="22" fillId="18" borderId="12" applyNumberFormat="0" applyAlignment="0" applyProtection="0"/>
    <xf numFmtId="0" fontId="23" fillId="0" borderId="14" applyNumberFormat="0" applyFill="0" applyAlignment="0" applyProtection="0"/>
    <xf numFmtId="0" fontId="24" fillId="19" borderId="15" applyNumberFormat="0" applyAlignment="0" applyProtection="0"/>
    <xf numFmtId="0" fontId="25" fillId="0" borderId="0" applyNumberFormat="0" applyFill="0" applyBorder="0" applyAlignment="0" applyProtection="0"/>
    <xf numFmtId="0" fontId="8" fillId="20" borderId="16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17" applyNumberFormat="0" applyFill="0" applyAlignment="0" applyProtection="0"/>
    <xf numFmtId="0" fontId="2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7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7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7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7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27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37" fillId="0" borderId="0" applyAlignment="0"/>
    <xf numFmtId="0" fontId="54" fillId="0" borderId="0"/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2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54" fillId="0" borderId="0"/>
    <xf numFmtId="9" fontId="54" fillId="0" borderId="0" applyFont="0" applyFill="0" applyBorder="0" applyAlignment="0" applyProtection="0"/>
  </cellStyleXfs>
  <cellXfs count="607">
    <xf numFmtId="0" fontId="0" fillId="0" borderId="0" xfId="0"/>
    <xf numFmtId="0" fontId="2" fillId="2" borderId="0" xfId="1" applyFont="1">
      <alignment vertical="center"/>
    </xf>
    <xf numFmtId="0" fontId="0" fillId="0" borderId="0" xfId="0" applyAlignment="1">
      <alignment vertical="center"/>
    </xf>
    <xf numFmtId="0" fontId="0" fillId="0" borderId="0" xfId="2" applyFont="1">
      <alignment vertical="center"/>
    </xf>
    <xf numFmtId="0" fontId="0" fillId="0" borderId="0" xfId="2" applyFont="1" applyAlignment="1">
      <alignment horizontal="left" vertical="center"/>
    </xf>
    <xf numFmtId="164" fontId="4" fillId="0" borderId="0" xfId="3">
      <alignment horizontal="right" vertical="center"/>
    </xf>
    <xf numFmtId="0" fontId="0" fillId="3" borderId="0" xfId="2" applyFont="1" applyFill="1" applyAlignment="1">
      <alignment horizontal="left" vertical="center" indent="1"/>
    </xf>
    <xf numFmtId="164" fontId="4" fillId="3" borderId="0" xfId="3" applyFill="1">
      <alignment horizontal="right" vertical="center"/>
    </xf>
    <xf numFmtId="0" fontId="0" fillId="3" borderId="0" xfId="2" applyFont="1" applyFill="1">
      <alignment vertical="center"/>
    </xf>
    <xf numFmtId="0" fontId="0" fillId="3" borderId="0" xfId="2" applyFont="1" applyFill="1" applyAlignment="1">
      <alignment horizontal="left" vertical="center" indent="2"/>
    </xf>
    <xf numFmtId="0" fontId="0" fillId="0" borderId="0" xfId="2" applyFont="1" applyAlignment="1">
      <alignment horizontal="left" vertical="center" indent="2"/>
    </xf>
    <xf numFmtId="164" fontId="0" fillId="0" borderId="0" xfId="0" applyNumberFormat="1" applyAlignment="1">
      <alignment vertical="center"/>
    </xf>
    <xf numFmtId="0" fontId="0" fillId="0" borderId="0" xfId="2" applyFont="1" applyAlignment="1">
      <alignment horizontal="left" vertical="center" indent="3"/>
    </xf>
    <xf numFmtId="0" fontId="0" fillId="0" borderId="0" xfId="4" applyFont="1">
      <alignment horizontal="center" vertical="center"/>
    </xf>
    <xf numFmtId="0" fontId="5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1">
      <alignment vertical="center"/>
    </xf>
    <xf numFmtId="0" fontId="3" fillId="0" borderId="0" xfId="2">
      <alignment vertical="center"/>
    </xf>
    <xf numFmtId="0" fontId="3" fillId="0" borderId="0" xfId="2" applyAlignment="1">
      <alignment horizontal="left" vertical="center" indent="2"/>
    </xf>
    <xf numFmtId="164" fontId="4" fillId="0" borderId="0" xfId="0" applyNumberFormat="1" applyFont="1" applyAlignment="1">
      <alignment vertical="center"/>
    </xf>
    <xf numFmtId="0" fontId="3" fillId="0" borderId="0" xfId="4">
      <alignment horizontal="center" vertical="center"/>
    </xf>
    <xf numFmtId="164" fontId="0" fillId="0" borderId="0" xfId="0" applyNumberFormat="1"/>
    <xf numFmtId="0" fontId="6" fillId="0" borderId="0" xfId="2" applyFont="1">
      <alignment vertical="center"/>
    </xf>
    <xf numFmtId="164" fontId="5" fillId="0" borderId="0" xfId="3" applyFont="1">
      <alignment horizontal="right" vertical="center"/>
    </xf>
    <xf numFmtId="0" fontId="3" fillId="3" borderId="0" xfId="2" applyFill="1" applyAlignment="1">
      <alignment horizontal="left" vertical="center" indent="1"/>
    </xf>
    <xf numFmtId="165" fontId="4" fillId="3" borderId="0" xfId="6" applyFill="1">
      <alignment horizontal="right" vertical="center"/>
    </xf>
    <xf numFmtId="0" fontId="3" fillId="3" borderId="0" xfId="2" applyFill="1">
      <alignment vertical="center"/>
    </xf>
    <xf numFmtId="0" fontId="3" fillId="0" borderId="0" xfId="5">
      <alignment vertical="center"/>
    </xf>
    <xf numFmtId="0" fontId="4" fillId="0" borderId="0" xfId="5" applyFont="1">
      <alignment vertical="center"/>
    </xf>
    <xf numFmtId="0" fontId="3" fillId="0" borderId="0" xfId="2" applyAlignment="1">
      <alignment horizontal="left" vertical="center" indent="1"/>
    </xf>
    <xf numFmtId="165" fontId="4" fillId="0" borderId="0" xfId="6">
      <alignment horizontal="right" vertical="center"/>
    </xf>
    <xf numFmtId="0" fontId="5" fillId="4" borderId="0" xfId="5" applyFont="1" applyFill="1">
      <alignment vertical="center"/>
    </xf>
    <xf numFmtId="0" fontId="2" fillId="4" borderId="0" xfId="1" applyFont="1" applyFill="1" applyBorder="1">
      <alignment vertical="center"/>
    </xf>
    <xf numFmtId="0" fontId="5" fillId="0" borderId="0" xfId="5" applyFont="1">
      <alignment vertical="center"/>
    </xf>
    <xf numFmtId="165" fontId="5" fillId="0" borderId="0" xfId="6" applyFont="1">
      <alignment horizontal="right" vertical="center"/>
    </xf>
    <xf numFmtId="0" fontId="6" fillId="3" borderId="0" xfId="2" applyFont="1" applyFill="1">
      <alignment vertical="center"/>
    </xf>
    <xf numFmtId="165" fontId="5" fillId="3" borderId="0" xfId="6" applyFont="1" applyFill="1">
      <alignment horizontal="right" vertical="center"/>
    </xf>
    <xf numFmtId="165" fontId="0" fillId="0" borderId="0" xfId="0" applyNumberFormat="1"/>
    <xf numFmtId="165" fontId="3" fillId="0" borderId="0" xfId="5" applyNumberFormat="1">
      <alignment vertical="center"/>
    </xf>
    <xf numFmtId="0" fontId="0" fillId="5" borderId="0" xfId="0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1" xfId="2" applyFont="1" applyFill="1" applyBorder="1" applyAlignment="1">
      <alignment horizontal="left" vertical="center" indent="1"/>
    </xf>
    <xf numFmtId="164" fontId="5" fillId="5" borderId="1" xfId="3" applyFont="1" applyFill="1" applyBorder="1">
      <alignment horizontal="right" vertical="center"/>
    </xf>
    <xf numFmtId="0" fontId="9" fillId="5" borderId="1" xfId="2" applyFont="1" applyFill="1" applyBorder="1" applyAlignment="1">
      <alignment horizontal="left" vertical="center" indent="2"/>
    </xf>
    <xf numFmtId="164" fontId="9" fillId="5" borderId="1" xfId="0" applyNumberFormat="1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2" applyFont="1" applyFill="1" applyBorder="1" applyAlignment="1">
      <alignment horizontal="center" vertical="center"/>
    </xf>
    <xf numFmtId="164" fontId="4" fillId="5" borderId="1" xfId="3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0" xfId="0" applyNumberFormat="1"/>
    <xf numFmtId="166" fontId="0" fillId="0" borderId="0" xfId="11" applyNumberFormat="1" applyFont="1"/>
    <xf numFmtId="167" fontId="11" fillId="0" borderId="0" xfId="0" applyNumberFormat="1" applyFont="1" applyAlignment="1">
      <alignment wrapText="1"/>
    </xf>
    <xf numFmtId="167" fontId="11" fillId="6" borderId="2" xfId="0" applyNumberFormat="1" applyFont="1" applyFill="1" applyBorder="1" applyAlignment="1">
      <alignment wrapText="1"/>
    </xf>
    <xf numFmtId="167" fontId="11" fillId="6" borderId="3" xfId="0" applyNumberFormat="1" applyFont="1" applyFill="1" applyBorder="1" applyAlignment="1">
      <alignment wrapText="1"/>
    </xf>
    <xf numFmtId="167" fontId="11" fillId="6" borderId="4" xfId="0" applyNumberFormat="1" applyFont="1" applyFill="1" applyBorder="1" applyAlignment="1">
      <alignment wrapText="1"/>
    </xf>
    <xf numFmtId="167" fontId="11" fillId="6" borderId="5" xfId="0" applyNumberFormat="1" applyFont="1" applyFill="1" applyBorder="1" applyAlignment="1">
      <alignment wrapText="1"/>
    </xf>
    <xf numFmtId="167" fontId="10" fillId="7" borderId="1" xfId="0" applyNumberFormat="1" applyFont="1" applyFill="1" applyBorder="1" applyAlignment="1">
      <alignment wrapText="1"/>
    </xf>
    <xf numFmtId="167" fontId="11" fillId="6" borderId="1" xfId="0" applyNumberFormat="1" applyFont="1" applyFill="1" applyBorder="1" applyAlignment="1">
      <alignment wrapText="1"/>
    </xf>
    <xf numFmtId="167" fontId="11" fillId="6" borderId="6" xfId="0" applyNumberFormat="1" applyFont="1" applyFill="1" applyBorder="1" applyAlignment="1">
      <alignment wrapText="1"/>
    </xf>
    <xf numFmtId="167" fontId="11" fillId="8" borderId="1" xfId="0" applyNumberFormat="1" applyFont="1" applyFill="1" applyBorder="1" applyAlignment="1">
      <alignment wrapText="1"/>
    </xf>
    <xf numFmtId="167" fontId="11" fillId="9" borderId="1" xfId="0" applyNumberFormat="1" applyFont="1" applyFill="1" applyBorder="1" applyAlignment="1">
      <alignment wrapText="1"/>
    </xf>
    <xf numFmtId="167" fontId="11" fillId="10" borderId="1" xfId="0" applyNumberFormat="1" applyFont="1" applyFill="1" applyBorder="1" applyAlignment="1">
      <alignment horizontal="right"/>
    </xf>
    <xf numFmtId="167" fontId="11" fillId="10" borderId="1" xfId="0" applyNumberFormat="1" applyFont="1" applyFill="1" applyBorder="1" applyAlignment="1">
      <alignment horizontal="left"/>
    </xf>
    <xf numFmtId="167" fontId="11" fillId="9" borderId="1" xfId="0" applyNumberFormat="1" applyFont="1" applyFill="1" applyBorder="1" applyAlignment="1">
      <alignment horizontal="right"/>
    </xf>
    <xf numFmtId="168" fontId="11" fillId="10" borderId="1" xfId="0" applyNumberFormat="1" applyFont="1" applyFill="1" applyBorder="1" applyAlignment="1">
      <alignment horizontal="right"/>
    </xf>
    <xf numFmtId="168" fontId="11" fillId="9" borderId="1" xfId="0" applyNumberFormat="1" applyFont="1" applyFill="1" applyBorder="1" applyAlignment="1">
      <alignment horizontal="right"/>
    </xf>
    <xf numFmtId="43" fontId="11" fillId="10" borderId="1" xfId="11" applyFont="1" applyFill="1" applyBorder="1" applyAlignment="1">
      <alignment horizontal="right"/>
    </xf>
    <xf numFmtId="3" fontId="0" fillId="0" borderId="0" xfId="0" applyNumberFormat="1"/>
    <xf numFmtId="43" fontId="0" fillId="0" borderId="0" xfId="11" applyFont="1"/>
    <xf numFmtId="43" fontId="0" fillId="0" borderId="0" xfId="11" applyFont="1" applyAlignment="1">
      <alignment horizontal="left" vertical="center"/>
    </xf>
    <xf numFmtId="0" fontId="2" fillId="2" borderId="0" xfId="1" applyNumberFormat="1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3" fillId="0" borderId="0" xfId="2" applyAlignment="1">
      <alignment horizontal="left" vertical="center" indent="3"/>
    </xf>
    <xf numFmtId="164" fontId="9" fillId="0" borderId="0" xfId="0" applyNumberFormat="1" applyFont="1" applyAlignment="1">
      <alignment vertical="center"/>
    </xf>
    <xf numFmtId="10" fontId="0" fillId="0" borderId="0" xfId="12" applyNumberFormat="1" applyFont="1" applyAlignment="1">
      <alignment vertical="center"/>
    </xf>
    <xf numFmtId="10" fontId="9" fillId="0" borderId="0" xfId="12" applyNumberFormat="1" applyFont="1" applyAlignment="1">
      <alignment vertical="center"/>
    </xf>
    <xf numFmtId="164" fontId="3" fillId="0" borderId="0" xfId="2" applyNumberFormat="1" applyAlignment="1">
      <alignment horizontal="left" vertical="center" indent="2"/>
    </xf>
    <xf numFmtId="0" fontId="9" fillId="0" borderId="0" xfId="0" applyFont="1"/>
    <xf numFmtId="165" fontId="6" fillId="3" borderId="0" xfId="2" applyNumberFormat="1" applyFont="1" applyFill="1">
      <alignment vertical="center"/>
    </xf>
    <xf numFmtId="9" fontId="4" fillId="0" borderId="0" xfId="12" applyFont="1" applyAlignment="1">
      <alignment horizontal="right" vertical="center"/>
    </xf>
    <xf numFmtId="10" fontId="4" fillId="0" borderId="0" xfId="12" applyNumberFormat="1" applyFont="1" applyAlignment="1">
      <alignment horizontal="right" vertical="center"/>
    </xf>
    <xf numFmtId="10" fontId="5" fillId="0" borderId="0" xfId="12" applyNumberFormat="1" applyFont="1" applyAlignment="1">
      <alignment horizontal="right" vertical="center"/>
    </xf>
    <xf numFmtId="10" fontId="0" fillId="0" borderId="0" xfId="12" applyNumberFormat="1" applyFont="1"/>
    <xf numFmtId="165" fontId="3" fillId="0" borderId="0" xfId="2" applyNumberFormat="1">
      <alignment vertical="center"/>
    </xf>
    <xf numFmtId="10" fontId="0" fillId="0" borderId="0" xfId="0" applyNumberFormat="1" applyAlignment="1">
      <alignment vertical="center"/>
    </xf>
    <xf numFmtId="0" fontId="9" fillId="13" borderId="1" xfId="2" applyFont="1" applyFill="1" applyBorder="1" applyAlignment="1">
      <alignment horizontal="center" vertical="center"/>
    </xf>
    <xf numFmtId="0" fontId="0" fillId="12" borderId="0" xfId="2" applyFont="1" applyFill="1" applyAlignment="1">
      <alignment horizontal="left" vertical="center" indent="1"/>
    </xf>
    <xf numFmtId="0" fontId="0" fillId="12" borderId="0" xfId="2" applyFont="1" applyFill="1" applyAlignment="1">
      <alignment horizontal="left" vertical="center" indent="2"/>
    </xf>
    <xf numFmtId="43" fontId="0" fillId="0" borderId="0" xfId="0" applyNumberFormat="1" applyAlignment="1">
      <alignment vertical="center"/>
    </xf>
    <xf numFmtId="0" fontId="9" fillId="13" borderId="1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10" fontId="8" fillId="13" borderId="1" xfId="12" applyNumberFormat="1" applyFont="1" applyFill="1" applyBorder="1" applyAlignment="1">
      <alignment horizontal="center" vertical="center"/>
    </xf>
    <xf numFmtId="10" fontId="4" fillId="5" borderId="1" xfId="12" applyNumberFormat="1" applyFont="1" applyFill="1" applyBorder="1" applyAlignment="1">
      <alignment horizontal="center" vertical="center"/>
    </xf>
    <xf numFmtId="43" fontId="0" fillId="0" borderId="0" xfId="0" applyNumberFormat="1"/>
    <xf numFmtId="0" fontId="30" fillId="45" borderId="0" xfId="0" applyFont="1" applyFill="1" applyAlignment="1">
      <alignment horizontal="right"/>
    </xf>
    <xf numFmtId="9" fontId="0" fillId="0" borderId="0" xfId="0" applyNumberFormat="1" applyAlignment="1">
      <alignment vertical="center"/>
    </xf>
    <xf numFmtId="0" fontId="29" fillId="52" borderId="0" xfId="0" applyFont="1" applyFill="1" applyAlignment="1">
      <alignment horizontal="left"/>
    </xf>
    <xf numFmtId="0" fontId="28" fillId="0" borderId="0" xfId="0" applyFont="1"/>
    <xf numFmtId="0" fontId="29" fillId="0" borderId="0" xfId="0" applyFont="1"/>
    <xf numFmtId="0" fontId="30" fillId="45" borderId="18" xfId="0" applyFont="1" applyFill="1" applyBorder="1" applyAlignment="1">
      <alignment horizontal="center"/>
    </xf>
    <xf numFmtId="0" fontId="30" fillId="45" borderId="18" xfId="0" applyFont="1" applyFill="1" applyBorder="1" applyAlignment="1">
      <alignment horizontal="right"/>
    </xf>
    <xf numFmtId="0" fontId="31" fillId="46" borderId="19" xfId="0" applyFont="1" applyFill="1" applyBorder="1" applyAlignment="1">
      <alignment horizontal="left"/>
    </xf>
    <xf numFmtId="0" fontId="32" fillId="47" borderId="20" xfId="0" applyFont="1" applyFill="1" applyBorder="1" applyAlignment="1">
      <alignment horizontal="center" vertical="top"/>
    </xf>
    <xf numFmtId="0" fontId="33" fillId="48" borderId="20" xfId="0" applyFont="1" applyFill="1" applyBorder="1" applyAlignment="1">
      <alignment horizontal="center" vertical="top"/>
    </xf>
    <xf numFmtId="0" fontId="28" fillId="46" borderId="21" xfId="0" applyFont="1" applyFill="1" applyBorder="1" applyAlignment="1">
      <alignment horizontal="left"/>
    </xf>
    <xf numFmtId="169" fontId="28" fillId="46" borderId="22" xfId="0" applyNumberFormat="1" applyFont="1" applyFill="1" applyBorder="1" applyAlignment="1">
      <alignment horizontal="right"/>
    </xf>
    <xf numFmtId="0" fontId="29" fillId="51" borderId="23" xfId="0" applyFont="1" applyFill="1" applyBorder="1"/>
    <xf numFmtId="0" fontId="29" fillId="51" borderId="22" xfId="0" applyFont="1" applyFill="1" applyBorder="1" applyAlignment="1">
      <alignment horizontal="right" wrapText="1"/>
    </xf>
    <xf numFmtId="0" fontId="29" fillId="50" borderId="23" xfId="0" applyFont="1" applyFill="1" applyBorder="1" applyAlignment="1">
      <alignment horizontal="left"/>
    </xf>
    <xf numFmtId="38" fontId="29" fillId="53" borderId="22" xfId="0" applyNumberFormat="1" applyFont="1" applyFill="1" applyBorder="1" applyAlignment="1">
      <alignment horizontal="right" wrapText="1"/>
    </xf>
    <xf numFmtId="170" fontId="29" fillId="0" borderId="22" xfId="0" applyNumberFormat="1" applyFont="1" applyBorder="1" applyAlignment="1">
      <alignment horizontal="right"/>
    </xf>
    <xf numFmtId="0" fontId="35" fillId="0" borderId="21" xfId="0" applyFont="1" applyBorder="1"/>
    <xf numFmtId="0" fontId="35" fillId="53" borderId="24" xfId="0" applyFont="1" applyFill="1" applyBorder="1" applyAlignment="1">
      <alignment horizontal="right" wrapText="1"/>
    </xf>
    <xf numFmtId="0" fontId="35" fillId="0" borderId="24" xfId="0" applyFont="1" applyBorder="1" applyAlignment="1">
      <alignment horizontal="right"/>
    </xf>
    <xf numFmtId="40" fontId="29" fillId="0" borderId="22" xfId="0" applyNumberFormat="1" applyFont="1" applyBorder="1" applyAlignment="1">
      <alignment horizontal="right"/>
    </xf>
    <xf numFmtId="171" fontId="29" fillId="0" borderId="22" xfId="0" applyNumberFormat="1" applyFont="1" applyBorder="1" applyAlignment="1">
      <alignment horizontal="right"/>
    </xf>
    <xf numFmtId="38" fontId="36" fillId="53" borderId="22" xfId="0" applyNumberFormat="1" applyFont="1" applyFill="1" applyBorder="1" applyAlignment="1">
      <alignment horizontal="right" wrapText="1"/>
    </xf>
    <xf numFmtId="0" fontId="34" fillId="54" borderId="20" xfId="0" applyFont="1" applyFill="1" applyBorder="1" applyAlignment="1">
      <alignment horizontal="center" vertical="top"/>
    </xf>
    <xf numFmtId="0" fontId="33" fillId="55" borderId="20" xfId="0" applyFont="1" applyFill="1" applyBorder="1" applyAlignment="1">
      <alignment horizontal="center" vertical="top"/>
    </xf>
    <xf numFmtId="0" fontId="34" fillId="49" borderId="20" xfId="0" applyFont="1" applyFill="1" applyBorder="1" applyAlignment="1">
      <alignment horizontal="center" vertical="top"/>
    </xf>
    <xf numFmtId="10" fontId="0" fillId="0" borderId="0" xfId="12" applyNumberFormat="1" applyFont="1" applyAlignment="1">
      <alignment horizontal="center"/>
    </xf>
    <xf numFmtId="9" fontId="29" fillId="53" borderId="22" xfId="12" applyFont="1" applyFill="1" applyBorder="1" applyAlignment="1">
      <alignment horizontal="right" wrapText="1"/>
    </xf>
    <xf numFmtId="173" fontId="5" fillId="0" borderId="0" xfId="3" applyNumberFormat="1" applyFont="1">
      <alignment horizontal="right" vertical="center"/>
    </xf>
    <xf numFmtId="173" fontId="0" fillId="0" borderId="0" xfId="0" applyNumberFormat="1"/>
    <xf numFmtId="172" fontId="4" fillId="0" borderId="0" xfId="3" applyNumberFormat="1">
      <alignment horizontal="right" vertical="center"/>
    </xf>
    <xf numFmtId="43" fontId="3" fillId="0" borderId="0" xfId="11" applyFont="1" applyAlignment="1">
      <alignment vertical="center"/>
    </xf>
    <xf numFmtId="0" fontId="3" fillId="0" borderId="1" xfId="2" applyBorder="1">
      <alignment vertical="center"/>
    </xf>
    <xf numFmtId="0" fontId="0" fillId="0" borderId="1" xfId="0" applyBorder="1"/>
    <xf numFmtId="0" fontId="3" fillId="0" borderId="25" xfId="2" applyFill="1" applyBorder="1">
      <alignment vertical="center"/>
    </xf>
    <xf numFmtId="43" fontId="0" fillId="0" borderId="1" xfId="11" applyFont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56" borderId="0" xfId="0" applyFill="1"/>
    <xf numFmtId="0" fontId="9" fillId="0" borderId="0" xfId="0" applyFont="1" applyAlignment="1">
      <alignment horizontal="center"/>
    </xf>
    <xf numFmtId="2" fontId="38" fillId="57" borderId="0" xfId="0" applyNumberFormat="1" applyFont="1" applyFill="1"/>
    <xf numFmtId="2" fontId="37" fillId="0" borderId="0" xfId="54" applyNumberFormat="1"/>
    <xf numFmtId="2" fontId="39" fillId="58" borderId="0" xfId="0" applyNumberFormat="1" applyFont="1" applyFill="1"/>
    <xf numFmtId="2" fontId="39" fillId="58" borderId="0" xfId="0" applyNumberFormat="1" applyFont="1" applyFill="1" applyAlignment="1">
      <alignment horizontal="right"/>
    </xf>
    <xf numFmtId="2" fontId="40" fillId="0" borderId="0" xfId="0" applyNumberFormat="1" applyFont="1"/>
    <xf numFmtId="2" fontId="40" fillId="0" borderId="0" xfId="0" applyNumberFormat="1" applyFont="1" applyAlignment="1">
      <alignment horizontal="right"/>
    </xf>
    <xf numFmtId="2" fontId="41" fillId="58" borderId="0" xfId="0" applyNumberFormat="1" applyFont="1" applyFill="1"/>
    <xf numFmtId="2" fontId="0" fillId="0" borderId="0" xfId="0" applyNumberFormat="1"/>
    <xf numFmtId="38" fontId="0" fillId="0" borderId="0" xfId="0" applyNumberFormat="1"/>
    <xf numFmtId="38" fontId="29" fillId="46" borderId="22" xfId="0" applyNumberFormat="1" applyFont="1" applyFill="1" applyBorder="1" applyAlignment="1">
      <alignment horizontal="right"/>
    </xf>
    <xf numFmtId="38" fontId="29" fillId="59" borderId="22" xfId="0" applyNumberFormat="1" applyFont="1" applyFill="1" applyBorder="1" applyAlignment="1">
      <alignment horizontal="right" wrapText="1"/>
    </xf>
    <xf numFmtId="0" fontId="35" fillId="59" borderId="24" xfId="0" applyFont="1" applyFill="1" applyBorder="1" applyAlignment="1">
      <alignment horizontal="right"/>
    </xf>
    <xf numFmtId="38" fontId="29" fillId="46" borderId="22" xfId="0" applyNumberFormat="1" applyFont="1" applyFill="1" applyBorder="1" applyAlignment="1">
      <alignment horizontal="right" wrapText="1"/>
    </xf>
    <xf numFmtId="0" fontId="35" fillId="46" borderId="24" xfId="0" applyFont="1" applyFill="1" applyBorder="1" applyAlignment="1">
      <alignment horizontal="right"/>
    </xf>
    <xf numFmtId="38" fontId="29" fillId="0" borderId="22" xfId="0" applyNumberFormat="1" applyFont="1" applyBorder="1" applyAlignment="1">
      <alignment horizontal="right" wrapText="1"/>
    </xf>
    <xf numFmtId="0" fontId="29" fillId="0" borderId="22" xfId="0" applyFont="1" applyBorder="1" applyAlignment="1">
      <alignment horizontal="left" wrapText="1"/>
    </xf>
    <xf numFmtId="40" fontId="29" fillId="0" borderId="22" xfId="0" applyNumberFormat="1" applyFont="1" applyBorder="1" applyAlignment="1">
      <alignment horizontal="right" wrapText="1"/>
    </xf>
    <xf numFmtId="174" fontId="29" fillId="0" borderId="22" xfId="0" applyNumberFormat="1" applyFont="1" applyBorder="1" applyAlignment="1">
      <alignment horizontal="right" wrapText="1"/>
    </xf>
    <xf numFmtId="0" fontId="0" fillId="52" borderId="0" xfId="0" applyFill="1" applyAlignment="1">
      <alignment horizontal="left" wrapText="1"/>
    </xf>
    <xf numFmtId="0" fontId="29" fillId="52" borderId="0" xfId="0" applyFont="1" applyFill="1" applyAlignment="1">
      <alignment horizontal="left" wrapText="1"/>
    </xf>
    <xf numFmtId="171" fontId="29" fillId="59" borderId="22" xfId="0" applyNumberFormat="1" applyFont="1" applyFill="1" applyBorder="1" applyAlignment="1">
      <alignment horizontal="right" wrapText="1"/>
    </xf>
    <xf numFmtId="0" fontId="29" fillId="51" borderId="23" xfId="0" applyFont="1" applyFill="1" applyBorder="1" applyAlignment="1">
      <alignment horizontal="left" wrapText="1" indent="1"/>
    </xf>
    <xf numFmtId="38" fontId="29" fillId="46" borderId="0" xfId="0" applyNumberFormat="1" applyFont="1" applyFill="1" applyAlignment="1">
      <alignment horizontal="right" wrapText="1"/>
    </xf>
    <xf numFmtId="0" fontId="29" fillId="51" borderId="22" xfId="0" applyFont="1" applyFill="1" applyBorder="1" applyAlignment="1">
      <alignment wrapText="1"/>
    </xf>
    <xf numFmtId="0" fontId="29" fillId="46" borderId="23" xfId="0" applyFont="1" applyFill="1" applyBorder="1" applyAlignment="1">
      <alignment horizontal="right"/>
    </xf>
    <xf numFmtId="175" fontId="9" fillId="51" borderId="0" xfId="0" applyNumberFormat="1" applyFont="1" applyFill="1" applyAlignment="1">
      <alignment horizontal="right"/>
    </xf>
    <xf numFmtId="38" fontId="29" fillId="0" borderId="22" xfId="0" applyNumberFormat="1" applyFont="1" applyBorder="1" applyAlignment="1">
      <alignment horizontal="right"/>
    </xf>
    <xf numFmtId="174" fontId="29" fillId="0" borderId="22" xfId="0" applyNumberFormat="1" applyFont="1" applyBorder="1" applyAlignment="1">
      <alignment horizontal="right"/>
    </xf>
    <xf numFmtId="0" fontId="29" fillId="59" borderId="23" xfId="0" applyFont="1" applyFill="1" applyBorder="1" applyAlignment="1">
      <alignment horizontal="left"/>
    </xf>
    <xf numFmtId="38" fontId="29" fillId="61" borderId="22" xfId="0" applyNumberFormat="1" applyFont="1" applyFill="1" applyBorder="1" applyAlignment="1">
      <alignment horizontal="right" wrapText="1"/>
    </xf>
    <xf numFmtId="0" fontId="9" fillId="60" borderId="1" xfId="0" applyFont="1" applyFill="1" applyBorder="1" applyAlignment="1">
      <alignment horizontal="center" vertical="center"/>
    </xf>
    <xf numFmtId="38" fontId="46" fillId="0" borderId="22" xfId="0" applyNumberFormat="1" applyFont="1" applyBorder="1" applyAlignment="1">
      <alignment horizontal="right" wrapText="1"/>
    </xf>
    <xf numFmtId="0" fontId="46" fillId="0" borderId="23" xfId="0" applyFont="1" applyBorder="1" applyAlignment="1">
      <alignment horizontal="left"/>
    </xf>
    <xf numFmtId="38" fontId="45" fillId="46" borderId="22" xfId="0" applyNumberFormat="1" applyFont="1" applyFill="1" applyBorder="1" applyAlignment="1">
      <alignment horizontal="right" wrapText="1"/>
    </xf>
    <xf numFmtId="38" fontId="45" fillId="0" borderId="22" xfId="0" applyNumberFormat="1" applyFont="1" applyBorder="1" applyAlignment="1">
      <alignment horizontal="right" wrapText="1"/>
    </xf>
    <xf numFmtId="0" fontId="0" fillId="61" borderId="1" xfId="0" applyFill="1" applyBorder="1"/>
    <xf numFmtId="0" fontId="29" fillId="61" borderId="23" xfId="0" applyFont="1" applyFill="1" applyBorder="1" applyAlignment="1">
      <alignment horizontal="left"/>
    </xf>
    <xf numFmtId="10" fontId="0" fillId="0" borderId="1" xfId="12" applyNumberFormat="1" applyFont="1" applyBorder="1"/>
    <xf numFmtId="0" fontId="29" fillId="51" borderId="23" xfId="0" applyFont="1" applyFill="1" applyBorder="1" applyAlignment="1">
      <alignment horizontal="left" indent="2"/>
    </xf>
    <xf numFmtId="0" fontId="30" fillId="45" borderId="18" xfId="0" applyFont="1" applyFill="1" applyBorder="1" applyAlignment="1">
      <alignment horizontal="left"/>
    </xf>
    <xf numFmtId="0" fontId="29" fillId="61" borderId="23" xfId="0" applyFont="1" applyFill="1" applyBorder="1" applyAlignment="1">
      <alignment horizontal="left" indent="2"/>
    </xf>
    <xf numFmtId="0" fontId="30" fillId="45" borderId="35" xfId="0" applyFont="1" applyFill="1" applyBorder="1" applyAlignment="1">
      <alignment horizontal="right"/>
    </xf>
    <xf numFmtId="0" fontId="42" fillId="49" borderId="20" xfId="0" applyFont="1" applyFill="1" applyBorder="1" applyAlignment="1">
      <alignment horizontal="center" vertical="top"/>
    </xf>
    <xf numFmtId="0" fontId="43" fillId="48" borderId="20" xfId="0" applyFont="1" applyFill="1" applyBorder="1" applyAlignment="1">
      <alignment horizontal="center" vertical="top"/>
    </xf>
    <xf numFmtId="0" fontId="44" fillId="47" borderId="20" xfId="0" applyFont="1" applyFill="1" applyBorder="1" applyAlignment="1">
      <alignment horizontal="center" vertical="top"/>
    </xf>
    <xf numFmtId="0" fontId="29" fillId="0" borderId="23" xfId="0" applyFont="1" applyBorder="1" applyAlignment="1">
      <alignment horizontal="left"/>
    </xf>
    <xf numFmtId="0" fontId="9" fillId="46" borderId="19" xfId="0" applyFont="1" applyFill="1" applyBorder="1" applyAlignment="1">
      <alignment horizontal="left"/>
    </xf>
    <xf numFmtId="0" fontId="29" fillId="0" borderId="22" xfId="0" applyFont="1" applyBorder="1" applyAlignment="1">
      <alignment horizontal="left"/>
    </xf>
    <xf numFmtId="0" fontId="29" fillId="51" borderId="22" xfId="0" applyFont="1" applyFill="1" applyBorder="1" applyAlignment="1">
      <alignment horizontal="left" wrapText="1" indent="1"/>
    </xf>
    <xf numFmtId="0" fontId="35" fillId="0" borderId="24" xfId="0" applyFont="1" applyBorder="1" applyAlignment="1">
      <alignment horizontal="left" wrapText="1"/>
    </xf>
    <xf numFmtId="0" fontId="29" fillId="51" borderId="22" xfId="0" applyFont="1" applyFill="1" applyBorder="1" applyAlignment="1">
      <alignment horizontal="left" indent="1"/>
    </xf>
    <xf numFmtId="0" fontId="35" fillId="46" borderId="24" xfId="0" applyFont="1" applyFill="1" applyBorder="1" applyAlignment="1">
      <alignment horizontal="left" wrapText="1" indent="1"/>
    </xf>
    <xf numFmtId="0" fontId="29" fillId="59" borderId="22" xfId="0" applyFont="1" applyFill="1" applyBorder="1" applyAlignment="1">
      <alignment horizontal="left"/>
    </xf>
    <xf numFmtId="0" fontId="35" fillId="59" borderId="24" xfId="0" applyFont="1" applyFill="1" applyBorder="1" applyAlignment="1">
      <alignment horizontal="left" wrapText="1"/>
    </xf>
    <xf numFmtId="0" fontId="31" fillId="46" borderId="20" xfId="0" applyFont="1" applyFill="1" applyBorder="1" applyAlignment="1">
      <alignment horizontal="left"/>
    </xf>
    <xf numFmtId="40" fontId="29" fillId="61" borderId="22" xfId="0" applyNumberFormat="1" applyFont="1" applyFill="1" applyBorder="1" applyAlignment="1">
      <alignment horizontal="right"/>
    </xf>
    <xf numFmtId="0" fontId="0" fillId="61" borderId="0" xfId="0" applyFill="1"/>
    <xf numFmtId="2" fontId="0" fillId="0" borderId="0" xfId="12" applyNumberFormat="1" applyFont="1" applyAlignment="1">
      <alignment horizontal="center"/>
    </xf>
    <xf numFmtId="0" fontId="47" fillId="0" borderId="0" xfId="0" applyFont="1"/>
    <xf numFmtId="0" fontId="48" fillId="0" borderId="0" xfId="0" applyFont="1"/>
    <xf numFmtId="0" fontId="49" fillId="62" borderId="36" xfId="0" applyFont="1" applyFill="1" applyBorder="1"/>
    <xf numFmtId="0" fontId="48" fillId="63" borderId="0" xfId="0" applyFont="1" applyFill="1"/>
    <xf numFmtId="0" fontId="48" fillId="63" borderId="26" xfId="0" applyFont="1" applyFill="1" applyBorder="1"/>
    <xf numFmtId="0" fontId="48" fillId="63" borderId="22" xfId="0" applyFont="1" applyFill="1" applyBorder="1"/>
    <xf numFmtId="9" fontId="50" fillId="65" borderId="0" xfId="0" applyNumberFormat="1" applyFont="1" applyFill="1"/>
    <xf numFmtId="3" fontId="48" fillId="0" borderId="22" xfId="0" applyNumberFormat="1" applyFont="1" applyBorder="1"/>
    <xf numFmtId="10" fontId="48" fillId="0" borderId="22" xfId="0" applyNumberFormat="1" applyFont="1" applyBorder="1"/>
    <xf numFmtId="0" fontId="29" fillId="51" borderId="0" xfId="0" applyFont="1" applyFill="1" applyAlignment="1">
      <alignment horizontal="left" wrapText="1" indent="1"/>
    </xf>
    <xf numFmtId="0" fontId="30" fillId="45" borderId="37" xfId="0" applyFont="1" applyFill="1" applyBorder="1" applyAlignment="1">
      <alignment horizontal="left"/>
    </xf>
    <xf numFmtId="0" fontId="29" fillId="46" borderId="0" xfId="0" applyFont="1" applyFill="1" applyAlignment="1">
      <alignment horizontal="right"/>
    </xf>
    <xf numFmtId="0" fontId="29" fillId="46" borderId="22" xfId="0" applyFont="1" applyFill="1" applyBorder="1" applyAlignment="1">
      <alignment horizontal="right"/>
    </xf>
    <xf numFmtId="0" fontId="29" fillId="59" borderId="22" xfId="0" applyFont="1" applyFill="1" applyBorder="1" applyAlignment="1">
      <alignment horizontal="left" wrapText="1"/>
    </xf>
    <xf numFmtId="3" fontId="52" fillId="63" borderId="22" xfId="0" applyNumberFormat="1" applyFont="1" applyFill="1" applyBorder="1" applyAlignment="1">
      <alignment horizontal="right" wrapText="1"/>
    </xf>
    <xf numFmtId="3" fontId="52" fillId="64" borderId="22" xfId="0" applyNumberFormat="1" applyFont="1" applyFill="1" applyBorder="1" applyAlignment="1">
      <alignment horizontal="right" wrapText="1"/>
    </xf>
    <xf numFmtId="0" fontId="52" fillId="0" borderId="22" xfId="0" applyFont="1" applyBorder="1" applyAlignment="1">
      <alignment horizontal="left" wrapText="1"/>
    </xf>
    <xf numFmtId="4" fontId="52" fillId="0" borderId="22" xfId="0" applyNumberFormat="1" applyFont="1" applyBorder="1" applyAlignment="1">
      <alignment horizontal="right" wrapText="1"/>
    </xf>
    <xf numFmtId="0" fontId="52" fillId="63" borderId="22" xfId="0" applyFont="1" applyFill="1" applyBorder="1" applyAlignment="1">
      <alignment horizontal="right"/>
    </xf>
    <xf numFmtId="0" fontId="52" fillId="63" borderId="22" xfId="0" applyFont="1" applyFill="1" applyBorder="1" applyAlignment="1">
      <alignment horizontal="right" wrapText="1"/>
    </xf>
    <xf numFmtId="0" fontId="52" fillId="64" borderId="22" xfId="0" applyFont="1" applyFill="1" applyBorder="1" applyAlignment="1">
      <alignment horizontal="right" wrapText="1"/>
    </xf>
    <xf numFmtId="0" fontId="44" fillId="66" borderId="20" xfId="0" applyFont="1" applyFill="1" applyBorder="1" applyAlignment="1">
      <alignment horizontal="center" vertical="top"/>
    </xf>
    <xf numFmtId="0" fontId="53" fillId="67" borderId="0" xfId="0" applyFont="1" applyFill="1" applyAlignment="1">
      <alignment horizontal="left" wrapText="1"/>
    </xf>
    <xf numFmtId="0" fontId="51" fillId="62" borderId="18" xfId="0" applyFont="1" applyFill="1" applyBorder="1" applyAlignment="1">
      <alignment horizontal="right"/>
    </xf>
    <xf numFmtId="0" fontId="52" fillId="63" borderId="0" xfId="0" applyFont="1" applyFill="1" applyAlignment="1">
      <alignment horizontal="right" wrapText="1"/>
    </xf>
    <xf numFmtId="0" fontId="52" fillId="0" borderId="22" xfId="0" applyFont="1" applyBorder="1" applyAlignment="1">
      <alignment horizontal="right" wrapText="1"/>
    </xf>
    <xf numFmtId="0" fontId="52" fillId="67" borderId="0" xfId="0" applyFont="1" applyFill="1" applyAlignment="1">
      <alignment horizontal="left"/>
    </xf>
    <xf numFmtId="3" fontId="52" fillId="0" borderId="22" xfId="0" applyNumberFormat="1" applyFont="1" applyBorder="1" applyAlignment="1">
      <alignment horizontal="right" wrapText="1"/>
    </xf>
    <xf numFmtId="171" fontId="29" fillId="59" borderId="22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center"/>
    </xf>
    <xf numFmtId="176" fontId="29" fillId="0" borderId="22" xfId="0" applyNumberFormat="1" applyFont="1" applyBorder="1" applyAlignment="1">
      <alignment horizontal="right"/>
    </xf>
    <xf numFmtId="0" fontId="9" fillId="68" borderId="0" xfId="0" applyFont="1" applyFill="1" applyAlignment="1">
      <alignment horizontal="center"/>
    </xf>
    <xf numFmtId="10" fontId="0" fillId="68" borderId="0" xfId="0" applyNumberFormat="1" applyFill="1"/>
    <xf numFmtId="38" fontId="29" fillId="68" borderId="22" xfId="0" applyNumberFormat="1" applyFont="1" applyFill="1" applyBorder="1" applyAlignment="1">
      <alignment horizontal="right" wrapText="1"/>
    </xf>
    <xf numFmtId="0" fontId="29" fillId="68" borderId="23" xfId="0" applyFont="1" applyFill="1" applyBorder="1" applyAlignment="1">
      <alignment horizontal="left"/>
    </xf>
    <xf numFmtId="0" fontId="0" fillId="68" borderId="1" xfId="0" applyFill="1" applyBorder="1"/>
    <xf numFmtId="10" fontId="0" fillId="68" borderId="1" xfId="12" applyNumberFormat="1" applyFont="1" applyFill="1" applyBorder="1"/>
    <xf numFmtId="0" fontId="0" fillId="69" borderId="0" xfId="0" applyFill="1"/>
    <xf numFmtId="0" fontId="30" fillId="69" borderId="0" xfId="0" applyFont="1" applyFill="1" applyAlignment="1">
      <alignment horizontal="right"/>
    </xf>
    <xf numFmtId="0" fontId="51" fillId="70" borderId="18" xfId="0" applyFont="1" applyFill="1" applyBorder="1" applyAlignment="1">
      <alignment horizontal="right"/>
    </xf>
    <xf numFmtId="0" fontId="42" fillId="70" borderId="20" xfId="0" applyFont="1" applyFill="1" applyBorder="1" applyAlignment="1">
      <alignment horizontal="center" vertical="top"/>
    </xf>
    <xf numFmtId="0" fontId="43" fillId="70" borderId="20" xfId="0" applyFont="1" applyFill="1" applyBorder="1" applyAlignment="1">
      <alignment horizontal="center" vertical="top"/>
    </xf>
    <xf numFmtId="0" fontId="52" fillId="70" borderId="22" xfId="0" applyFont="1" applyFill="1" applyBorder="1" applyAlignment="1">
      <alignment horizontal="right"/>
    </xf>
    <xf numFmtId="3" fontId="52" fillId="70" borderId="22" xfId="0" applyNumberFormat="1" applyFont="1" applyFill="1" applyBorder="1" applyAlignment="1">
      <alignment horizontal="right" wrapText="1"/>
    </xf>
    <xf numFmtId="0" fontId="52" fillId="70" borderId="22" xfId="0" applyFont="1" applyFill="1" applyBorder="1" applyAlignment="1">
      <alignment horizontal="right" wrapText="1"/>
    </xf>
    <xf numFmtId="0" fontId="52" fillId="69" borderId="22" xfId="0" applyFont="1" applyFill="1" applyBorder="1" applyAlignment="1">
      <alignment horizontal="right" wrapText="1"/>
    </xf>
    <xf numFmtId="3" fontId="52" fillId="69" borderId="22" xfId="0" applyNumberFormat="1" applyFont="1" applyFill="1" applyBorder="1" applyAlignment="1">
      <alignment horizontal="right" wrapText="1"/>
    </xf>
    <xf numFmtId="0" fontId="52" fillId="69" borderId="22" xfId="0" applyFont="1" applyFill="1" applyBorder="1" applyAlignment="1">
      <alignment horizontal="left" wrapText="1"/>
    </xf>
    <xf numFmtId="4" fontId="52" fillId="69" borderId="22" xfId="0" applyNumberFormat="1" applyFont="1" applyFill="1" applyBorder="1" applyAlignment="1">
      <alignment horizontal="right" wrapText="1"/>
    </xf>
    <xf numFmtId="0" fontId="52" fillId="70" borderId="0" xfId="0" applyFont="1" applyFill="1" applyAlignment="1">
      <alignment horizontal="left"/>
    </xf>
    <xf numFmtId="0" fontId="53" fillId="70" borderId="0" xfId="0" applyFont="1" applyFill="1" applyAlignment="1">
      <alignment horizontal="left" wrapText="1"/>
    </xf>
    <xf numFmtId="0" fontId="52" fillId="70" borderId="0" xfId="0" applyFont="1" applyFill="1" applyAlignment="1">
      <alignment horizontal="right" wrapText="1"/>
    </xf>
    <xf numFmtId="0" fontId="35" fillId="69" borderId="24" xfId="0" applyFont="1" applyFill="1" applyBorder="1" applyAlignment="1">
      <alignment horizontal="right"/>
    </xf>
    <xf numFmtId="171" fontId="29" fillId="69" borderId="22" xfId="0" applyNumberFormat="1" applyFont="1" applyFill="1" applyBorder="1" applyAlignment="1">
      <alignment horizontal="right" wrapText="1"/>
    </xf>
    <xf numFmtId="174" fontId="29" fillId="69" borderId="22" xfId="0" applyNumberFormat="1" applyFont="1" applyFill="1" applyBorder="1" applyAlignment="1">
      <alignment horizontal="right" wrapText="1"/>
    </xf>
    <xf numFmtId="40" fontId="29" fillId="69" borderId="22" xfId="0" applyNumberFormat="1" applyFont="1" applyFill="1" applyBorder="1" applyAlignment="1">
      <alignment horizontal="right" wrapText="1"/>
    </xf>
    <xf numFmtId="0" fontId="29" fillId="69" borderId="0" xfId="0" applyFont="1" applyFill="1" applyAlignment="1">
      <alignment horizontal="left"/>
    </xf>
    <xf numFmtId="0" fontId="0" fillId="69" borderId="0" xfId="0" applyFill="1" applyAlignment="1">
      <alignment horizontal="left" wrapText="1"/>
    </xf>
    <xf numFmtId="38" fontId="29" fillId="69" borderId="22" xfId="0" applyNumberFormat="1" applyFont="1" applyFill="1" applyBorder="1" applyAlignment="1">
      <alignment horizontal="right" wrapText="1"/>
    </xf>
    <xf numFmtId="38" fontId="29" fillId="69" borderId="0" xfId="0" applyNumberFormat="1" applyFont="1" applyFill="1" applyAlignment="1">
      <alignment horizontal="right" wrapText="1"/>
    </xf>
    <xf numFmtId="0" fontId="29" fillId="69" borderId="0" xfId="0" applyFont="1" applyFill="1" applyAlignment="1">
      <alignment horizontal="left" wrapText="1"/>
    </xf>
    <xf numFmtId="0" fontId="29" fillId="69" borderId="23" xfId="0" applyFont="1" applyFill="1" applyBorder="1" applyAlignment="1">
      <alignment horizontal="left" wrapText="1" indent="2"/>
    </xf>
    <xf numFmtId="3" fontId="51" fillId="70" borderId="22" xfId="0" applyNumberFormat="1" applyFont="1" applyFill="1" applyBorder="1" applyAlignment="1">
      <alignment horizontal="right" wrapText="1"/>
    </xf>
    <xf numFmtId="0" fontId="29" fillId="51" borderId="22" xfId="0" applyFont="1" applyFill="1" applyBorder="1"/>
    <xf numFmtId="0" fontId="29" fillId="59" borderId="22" xfId="0" applyFont="1" applyFill="1" applyBorder="1"/>
    <xf numFmtId="0" fontId="0" fillId="0" borderId="24" xfId="0" applyBorder="1"/>
    <xf numFmtId="0" fontId="29" fillId="51" borderId="23" xfId="0" applyFont="1" applyFill="1" applyBorder="1" applyAlignment="1">
      <alignment horizontal="left" wrapText="1" indent="2"/>
    </xf>
    <xf numFmtId="38" fontId="29" fillId="0" borderId="22" xfId="0" applyNumberFormat="1" applyFont="1" applyBorder="1" applyAlignment="1">
      <alignment horizontal="left" wrapText="1"/>
    </xf>
    <xf numFmtId="38" fontId="29" fillId="3" borderId="22" xfId="0" applyNumberFormat="1" applyFont="1" applyFill="1" applyBorder="1" applyAlignment="1">
      <alignment horizontal="right" wrapText="1"/>
    </xf>
    <xf numFmtId="0" fontId="29" fillId="3" borderId="23" xfId="0" applyFont="1" applyFill="1" applyBorder="1" applyAlignment="1">
      <alignment horizontal="left"/>
    </xf>
    <xf numFmtId="176" fontId="29" fillId="0" borderId="0" xfId="0" applyNumberFormat="1" applyFont="1" applyAlignment="1">
      <alignment horizontal="right"/>
    </xf>
    <xf numFmtId="0" fontId="0" fillId="3" borderId="0" xfId="0" applyFill="1"/>
    <xf numFmtId="10" fontId="29" fillId="3" borderId="22" xfId="12" applyNumberFormat="1" applyFont="1" applyFill="1" applyBorder="1" applyAlignment="1">
      <alignment horizontal="right" wrapText="1"/>
    </xf>
    <xf numFmtId="3" fontId="0" fillId="3" borderId="0" xfId="0" applyNumberFormat="1" applyFill="1"/>
    <xf numFmtId="10" fontId="29" fillId="0" borderId="22" xfId="12" applyNumberFormat="1" applyFont="1" applyBorder="1" applyAlignment="1">
      <alignment horizontal="left" wrapText="1"/>
    </xf>
    <xf numFmtId="171" fontId="29" fillId="0" borderId="0" xfId="0" applyNumberFormat="1" applyFont="1" applyAlignment="1">
      <alignment horizontal="right"/>
    </xf>
    <xf numFmtId="10" fontId="0" fillId="3" borderId="0" xfId="12" applyNumberFormat="1" applyFont="1" applyFill="1"/>
    <xf numFmtId="14" fontId="0" fillId="0" borderId="0" xfId="0" applyNumberFormat="1"/>
    <xf numFmtId="4" fontId="0" fillId="0" borderId="0" xfId="0" applyNumberFormat="1"/>
    <xf numFmtId="168" fontId="0" fillId="0" borderId="0" xfId="12" applyNumberFormat="1" applyFont="1"/>
    <xf numFmtId="177" fontId="0" fillId="0" borderId="0" xfId="0" applyNumberFormat="1"/>
    <xf numFmtId="168" fontId="0" fillId="0" borderId="0" xfId="0" applyNumberFormat="1"/>
    <xf numFmtId="4" fontId="9" fillId="56" borderId="0" xfId="0" applyNumberFormat="1" applyFont="1" applyFill="1"/>
    <xf numFmtId="10" fontId="9" fillId="56" borderId="0" xfId="12" applyNumberFormat="1" applyFont="1" applyFill="1"/>
    <xf numFmtId="178" fontId="0" fillId="0" borderId="0" xfId="0" applyNumberFormat="1"/>
    <xf numFmtId="0" fontId="29" fillId="51" borderId="31" xfId="0" applyFont="1" applyFill="1" applyBorder="1" applyAlignment="1">
      <alignment horizontal="left" indent="2"/>
    </xf>
    <xf numFmtId="0" fontId="29" fillId="51" borderId="32" xfId="0" applyFont="1" applyFill="1" applyBorder="1" applyAlignment="1">
      <alignment horizontal="left" indent="2"/>
    </xf>
    <xf numFmtId="0" fontId="55" fillId="0" borderId="0" xfId="0" applyFont="1"/>
    <xf numFmtId="0" fontId="55" fillId="56" borderId="0" xfId="0" applyFont="1" applyFill="1"/>
    <xf numFmtId="0" fontId="55" fillId="0" borderId="1" xfId="0" applyFont="1" applyBorder="1"/>
    <xf numFmtId="10" fontId="55" fillId="0" borderId="1" xfId="12" applyNumberFormat="1" applyFont="1" applyBorder="1"/>
    <xf numFmtId="166" fontId="55" fillId="0" borderId="1" xfId="0" applyNumberFormat="1" applyFont="1" applyBorder="1"/>
    <xf numFmtId="0" fontId="55" fillId="5" borderId="0" xfId="0" applyFont="1" applyFill="1"/>
    <xf numFmtId="10" fontId="55" fillId="0" borderId="0" xfId="12" applyNumberFormat="1" applyFont="1" applyAlignment="1">
      <alignment horizontal="center"/>
    </xf>
    <xf numFmtId="0" fontId="56" fillId="56" borderId="0" xfId="0" applyFont="1" applyFill="1" applyAlignment="1">
      <alignment horizontal="center" vertical="center" wrapText="1"/>
    </xf>
    <xf numFmtId="10" fontId="55" fillId="0" borderId="0" xfId="0" applyNumberFormat="1" applyFont="1"/>
    <xf numFmtId="10" fontId="55" fillId="0" borderId="1" xfId="0" applyNumberFormat="1" applyFont="1" applyBorder="1"/>
    <xf numFmtId="10" fontId="55" fillId="0" borderId="0" xfId="12" applyNumberFormat="1" applyFont="1"/>
    <xf numFmtId="181" fontId="55" fillId="0" borderId="1" xfId="0" applyNumberFormat="1" applyFont="1" applyBorder="1"/>
    <xf numFmtId="10" fontId="9" fillId="0" borderId="0" xfId="12" applyNumberFormat="1" applyFont="1"/>
    <xf numFmtId="166" fontId="55" fillId="0" borderId="0" xfId="11" applyNumberFormat="1" applyFont="1"/>
    <xf numFmtId="166" fontId="55" fillId="56" borderId="0" xfId="11" applyNumberFormat="1" applyFont="1" applyFill="1"/>
    <xf numFmtId="0" fontId="56" fillId="71" borderId="1" xfId="0" applyFont="1" applyFill="1" applyBorder="1" applyAlignment="1">
      <alignment horizontal="center" vertical="center"/>
    </xf>
    <xf numFmtId="180" fontId="0" fillId="0" borderId="0" xfId="12" applyNumberFormat="1" applyFont="1"/>
    <xf numFmtId="180" fontId="0" fillId="0" borderId="0" xfId="0" applyNumberFormat="1"/>
    <xf numFmtId="172" fontId="9" fillId="0" borderId="0" xfId="0" applyNumberFormat="1" applyFont="1" applyAlignment="1">
      <alignment vertical="center"/>
    </xf>
    <xf numFmtId="43" fontId="0" fillId="0" borderId="0" xfId="11" applyFont="1" applyAlignment="1">
      <alignment vertical="center"/>
    </xf>
    <xf numFmtId="0" fontId="55" fillId="0" borderId="0" xfId="0" applyFont="1" applyAlignment="1">
      <alignment vertical="center"/>
    </xf>
    <xf numFmtId="38" fontId="0" fillId="0" borderId="0" xfId="0" applyNumberFormat="1" applyAlignment="1">
      <alignment vertical="center"/>
    </xf>
    <xf numFmtId="43" fontId="57" fillId="72" borderId="1" xfId="11" applyFont="1" applyFill="1" applyBorder="1" applyAlignment="1">
      <alignment horizontal="center" vertical="center"/>
    </xf>
    <xf numFmtId="10" fontId="56" fillId="56" borderId="0" xfId="12" applyNumberFormat="1" applyFont="1" applyFill="1" applyAlignment="1">
      <alignment horizontal="center" vertical="center"/>
    </xf>
    <xf numFmtId="0" fontId="55" fillId="5" borderId="0" xfId="0" applyFont="1" applyFill="1" applyAlignment="1">
      <alignment vertical="center"/>
    </xf>
    <xf numFmtId="0" fontId="55" fillId="5" borderId="1" xfId="0" applyFont="1" applyFill="1" applyBorder="1"/>
    <xf numFmtId="0" fontId="58" fillId="13" borderId="1" xfId="0" applyFont="1" applyFill="1" applyBorder="1" applyAlignment="1">
      <alignment horizontal="center" vertical="center"/>
    </xf>
    <xf numFmtId="38" fontId="29" fillId="72" borderId="22" xfId="0" applyNumberFormat="1" applyFont="1" applyFill="1" applyBorder="1" applyAlignment="1">
      <alignment horizontal="right" wrapText="1"/>
    </xf>
    <xf numFmtId="3" fontId="0" fillId="0" borderId="1" xfId="0" applyNumberFormat="1" applyBorder="1"/>
    <xf numFmtId="3" fontId="55" fillId="0" borderId="1" xfId="0" applyNumberFormat="1" applyFont="1" applyBorder="1"/>
    <xf numFmtId="0" fontId="55" fillId="0" borderId="1" xfId="0" applyFont="1" applyBorder="1" applyAlignment="1">
      <alignment wrapText="1"/>
    </xf>
    <xf numFmtId="0" fontId="55" fillId="73" borderId="1" xfId="0" applyFont="1" applyFill="1" applyBorder="1"/>
    <xf numFmtId="3" fontId="0" fillId="73" borderId="1" xfId="0" applyNumberFormat="1" applyFill="1" applyBorder="1"/>
    <xf numFmtId="10" fontId="55" fillId="73" borderId="0" xfId="0" applyNumberFormat="1" applyFont="1" applyFill="1"/>
    <xf numFmtId="3" fontId="55" fillId="73" borderId="1" xfId="0" applyNumberFormat="1" applyFont="1" applyFill="1" applyBorder="1"/>
    <xf numFmtId="0" fontId="55" fillId="73" borderId="1" xfId="0" applyFont="1" applyFill="1" applyBorder="1" applyAlignment="1">
      <alignment horizontal="left"/>
    </xf>
    <xf numFmtId="10" fontId="55" fillId="73" borderId="0" xfId="0" applyNumberFormat="1" applyFont="1" applyFill="1" applyAlignment="1">
      <alignment horizontal="left"/>
    </xf>
    <xf numFmtId="0" fontId="29" fillId="51" borderId="23" xfId="0" applyFont="1" applyFill="1" applyBorder="1" applyAlignment="1">
      <alignment horizontal="left" indent="1"/>
    </xf>
    <xf numFmtId="43" fontId="55" fillId="0" borderId="0" xfId="11" applyFont="1"/>
    <xf numFmtId="0" fontId="59" fillId="13" borderId="1" xfId="0" applyFont="1" applyFill="1" applyBorder="1" applyAlignment="1">
      <alignment horizontal="center" vertical="center"/>
    </xf>
    <xf numFmtId="166" fontId="56" fillId="0" borderId="1" xfId="11" applyNumberFormat="1" applyFont="1" applyBorder="1" applyAlignment="1">
      <alignment horizontal="center" vertical="center"/>
    </xf>
    <xf numFmtId="166" fontId="55" fillId="0" borderId="1" xfId="11" applyNumberFormat="1" applyFont="1" applyBorder="1" applyAlignment="1">
      <alignment horizontal="center" vertical="center"/>
    </xf>
    <xf numFmtId="0" fontId="55" fillId="0" borderId="0" xfId="0" applyFont="1" applyAlignment="1">
      <alignment horizontal="center"/>
    </xf>
    <xf numFmtId="0" fontId="56" fillId="74" borderId="1" xfId="0" applyFont="1" applyFill="1" applyBorder="1" applyAlignment="1">
      <alignment horizontal="center" vertical="center"/>
    </xf>
    <xf numFmtId="166" fontId="56" fillId="74" borderId="1" xfId="11" applyNumberFormat="1" applyFont="1" applyFill="1" applyBorder="1" applyAlignment="1">
      <alignment horizontal="center" vertical="center"/>
    </xf>
    <xf numFmtId="0" fontId="55" fillId="74" borderId="1" xfId="0" applyFont="1" applyFill="1" applyBorder="1" applyAlignment="1">
      <alignment horizontal="center" vertical="center"/>
    </xf>
    <xf numFmtId="166" fontId="55" fillId="74" borderId="1" xfId="11" applyNumberFormat="1" applyFont="1" applyFill="1" applyBorder="1" applyAlignment="1">
      <alignment horizontal="center" vertical="center"/>
    </xf>
    <xf numFmtId="10" fontId="55" fillId="74" borderId="1" xfId="12" applyNumberFormat="1" applyFont="1" applyFill="1" applyBorder="1" applyAlignment="1">
      <alignment horizontal="center" vertical="center"/>
    </xf>
    <xf numFmtId="10" fontId="55" fillId="74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10" fontId="55" fillId="0" borderId="1" xfId="12" applyNumberFormat="1" applyFont="1" applyBorder="1" applyAlignment="1">
      <alignment horizontal="center" vertical="center"/>
    </xf>
    <xf numFmtId="10" fontId="55" fillId="0" borderId="1" xfId="0" applyNumberFormat="1" applyFont="1" applyBorder="1" applyAlignment="1">
      <alignment horizontal="center" vertical="center"/>
    </xf>
    <xf numFmtId="9" fontId="55" fillId="0" borderId="1" xfId="12" applyFont="1" applyBorder="1" applyAlignment="1">
      <alignment horizontal="center" vertical="center"/>
    </xf>
    <xf numFmtId="9" fontId="5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3" fontId="55" fillId="0" borderId="1" xfId="11" applyFont="1" applyBorder="1" applyAlignment="1">
      <alignment horizontal="center" vertical="center"/>
    </xf>
    <xf numFmtId="0" fontId="55" fillId="0" borderId="8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29" fillId="72" borderId="31" xfId="0" applyFont="1" applyFill="1" applyBorder="1" applyAlignment="1">
      <alignment horizontal="center" vertical="center"/>
    </xf>
    <xf numFmtId="38" fontId="29" fillId="72" borderId="22" xfId="0" applyNumberFormat="1" applyFont="1" applyFill="1" applyBorder="1" applyAlignment="1">
      <alignment horizontal="center" vertical="center" wrapText="1"/>
    </xf>
    <xf numFmtId="0" fontId="55" fillId="0" borderId="3" xfId="0" applyFont="1" applyBorder="1" applyAlignment="1">
      <alignment horizontal="center" vertical="center"/>
    </xf>
    <xf numFmtId="0" fontId="55" fillId="0" borderId="38" xfId="0" applyFont="1" applyBorder="1" applyAlignment="1">
      <alignment horizontal="center" vertical="center"/>
    </xf>
    <xf numFmtId="10" fontId="55" fillId="0" borderId="0" xfId="0" applyNumberFormat="1" applyFont="1" applyAlignment="1">
      <alignment horizontal="center"/>
    </xf>
    <xf numFmtId="0" fontId="55" fillId="5" borderId="0" xfId="0" applyFont="1" applyFill="1" applyAlignment="1">
      <alignment horizontal="center"/>
    </xf>
    <xf numFmtId="168" fontId="55" fillId="74" borderId="1" xfId="0" applyNumberFormat="1" applyFont="1" applyFill="1" applyBorder="1" applyAlignment="1">
      <alignment horizontal="center" vertical="center"/>
    </xf>
    <xf numFmtId="38" fontId="56" fillId="74" borderId="1" xfId="0" applyNumberFormat="1" applyFont="1" applyFill="1" applyBorder="1" applyAlignment="1">
      <alignment horizontal="center" vertical="center"/>
    </xf>
    <xf numFmtId="9" fontId="55" fillId="74" borderId="1" xfId="12" applyFont="1" applyFill="1" applyBorder="1" applyAlignment="1">
      <alignment horizontal="center" vertical="center"/>
    </xf>
    <xf numFmtId="9" fontId="55" fillId="74" borderId="1" xfId="0" applyNumberFormat="1" applyFont="1" applyFill="1" applyBorder="1" applyAlignment="1">
      <alignment horizontal="center" vertical="center"/>
    </xf>
    <xf numFmtId="3" fontId="0" fillId="74" borderId="1" xfId="0" applyNumberFormat="1" applyFill="1" applyBorder="1" applyAlignment="1">
      <alignment horizontal="center" vertical="center"/>
    </xf>
    <xf numFmtId="179" fontId="55" fillId="74" borderId="1" xfId="12" applyNumberFormat="1" applyFont="1" applyFill="1" applyBorder="1" applyAlignment="1">
      <alignment horizontal="center" vertical="center"/>
    </xf>
    <xf numFmtId="43" fontId="55" fillId="74" borderId="1" xfId="11" applyFont="1" applyFill="1" applyBorder="1" applyAlignment="1">
      <alignment horizontal="center" vertical="center"/>
    </xf>
    <xf numFmtId="0" fontId="0" fillId="74" borderId="1" xfId="0" applyFill="1" applyBorder="1" applyAlignment="1">
      <alignment horizontal="center" vertical="center"/>
    </xf>
    <xf numFmtId="3" fontId="55" fillId="74" borderId="1" xfId="0" applyNumberFormat="1" applyFont="1" applyFill="1" applyBorder="1" applyAlignment="1">
      <alignment horizontal="center" vertical="center"/>
    </xf>
    <xf numFmtId="179" fontId="55" fillId="74" borderId="1" xfId="0" applyNumberFormat="1" applyFont="1" applyFill="1" applyBorder="1" applyAlignment="1">
      <alignment horizontal="center" vertical="center"/>
    </xf>
    <xf numFmtId="43" fontId="55" fillId="0" borderId="1" xfId="0" applyNumberFormat="1" applyFont="1" applyBorder="1" applyAlignment="1">
      <alignment horizontal="center" vertical="center"/>
    </xf>
    <xf numFmtId="0" fontId="25" fillId="75" borderId="0" xfId="0" applyFont="1" applyFill="1"/>
    <xf numFmtId="0" fontId="33" fillId="3" borderId="20" xfId="0" applyFont="1" applyFill="1" applyBorder="1" applyAlignment="1">
      <alignment horizontal="center" vertical="top"/>
    </xf>
    <xf numFmtId="38" fontId="45" fillId="3" borderId="22" xfId="0" applyNumberFormat="1" applyFont="1" applyFill="1" applyBorder="1" applyAlignment="1">
      <alignment horizontal="right" wrapText="1"/>
    </xf>
    <xf numFmtId="0" fontId="29" fillId="3" borderId="22" xfId="0" applyFont="1" applyFill="1" applyBorder="1" applyAlignment="1">
      <alignment horizontal="left" wrapText="1"/>
    </xf>
    <xf numFmtId="0" fontId="29" fillId="3" borderId="0" xfId="0" applyFont="1" applyFill="1" applyAlignment="1">
      <alignment horizontal="left"/>
    </xf>
    <xf numFmtId="0" fontId="30" fillId="3" borderId="18" xfId="0" applyFont="1" applyFill="1" applyBorder="1" applyAlignment="1">
      <alignment horizontal="right"/>
    </xf>
    <xf numFmtId="38" fontId="29" fillId="3" borderId="22" xfId="0" applyNumberFormat="1" applyFont="1" applyFill="1" applyBorder="1" applyAlignment="1">
      <alignment horizontal="right"/>
    </xf>
    <xf numFmtId="0" fontId="45" fillId="75" borderId="23" xfId="0" applyFont="1" applyFill="1" applyBorder="1" applyAlignment="1">
      <alignment horizontal="left"/>
    </xf>
    <xf numFmtId="38" fontId="45" fillId="75" borderId="22" xfId="0" applyNumberFormat="1" applyFont="1" applyFill="1" applyBorder="1" applyAlignment="1">
      <alignment horizontal="right" wrapText="1"/>
    </xf>
    <xf numFmtId="38" fontId="29" fillId="56" borderId="22" xfId="0" applyNumberFormat="1" applyFont="1" applyFill="1" applyBorder="1" applyAlignment="1">
      <alignment horizontal="right"/>
    </xf>
    <xf numFmtId="3" fontId="0" fillId="56" borderId="0" xfId="0" applyNumberFormat="1" applyFill="1"/>
    <xf numFmtId="0" fontId="33" fillId="56" borderId="20" xfId="0" applyFont="1" applyFill="1" applyBorder="1" applyAlignment="1">
      <alignment horizontal="center" vertical="top"/>
    </xf>
    <xf numFmtId="38" fontId="45" fillId="56" borderId="0" xfId="0" applyNumberFormat="1" applyFont="1" applyFill="1" applyAlignment="1">
      <alignment horizontal="right" wrapText="1"/>
    </xf>
    <xf numFmtId="0" fontId="25" fillId="56" borderId="0" xfId="0" applyFont="1" applyFill="1"/>
    <xf numFmtId="0" fontId="34" fillId="56" borderId="20" xfId="0" applyFont="1" applyFill="1" applyBorder="1" applyAlignment="1">
      <alignment horizontal="center" vertical="top"/>
    </xf>
    <xf numFmtId="38" fontId="45" fillId="3" borderId="0" xfId="0" applyNumberFormat="1" applyFont="1" applyFill="1" applyAlignment="1">
      <alignment horizontal="right" wrapText="1"/>
    </xf>
    <xf numFmtId="38" fontId="45" fillId="56" borderId="22" xfId="0" applyNumberFormat="1" applyFont="1" applyFill="1" applyBorder="1" applyAlignment="1">
      <alignment horizontal="right" wrapText="1"/>
    </xf>
    <xf numFmtId="0" fontId="32" fillId="56" borderId="20" xfId="0" applyFont="1" applyFill="1" applyBorder="1" applyAlignment="1">
      <alignment horizontal="center" vertical="top"/>
    </xf>
    <xf numFmtId="38" fontId="45" fillId="75" borderId="0" xfId="0" applyNumberFormat="1" applyFont="1" applyFill="1" applyAlignment="1">
      <alignment horizontal="right" wrapText="1"/>
    </xf>
    <xf numFmtId="0" fontId="29" fillId="56" borderId="22" xfId="0" applyFont="1" applyFill="1" applyBorder="1" applyAlignment="1">
      <alignment horizontal="left" wrapText="1"/>
    </xf>
    <xf numFmtId="0" fontId="30" fillId="56" borderId="18" xfId="0" applyFont="1" applyFill="1" applyBorder="1" applyAlignment="1">
      <alignment horizontal="right"/>
    </xf>
    <xf numFmtId="10" fontId="0" fillId="56" borderId="0" xfId="12" applyNumberFormat="1" applyFont="1" applyFill="1"/>
    <xf numFmtId="166" fontId="45" fillId="75" borderId="0" xfId="11" applyNumberFormat="1" applyFont="1" applyFill="1" applyBorder="1" applyAlignment="1">
      <alignment horizontal="right" wrapText="1"/>
    </xf>
    <xf numFmtId="38" fontId="29" fillId="56" borderId="22" xfId="0" applyNumberFormat="1" applyFont="1" applyFill="1" applyBorder="1" applyAlignment="1">
      <alignment horizontal="right" wrapText="1"/>
    </xf>
    <xf numFmtId="166" fontId="45" fillId="75" borderId="22" xfId="11" applyNumberFormat="1" applyFont="1" applyFill="1" applyBorder="1" applyAlignment="1">
      <alignment horizontal="right" wrapText="1"/>
    </xf>
    <xf numFmtId="0" fontId="45" fillId="75" borderId="0" xfId="0" applyFont="1" applyFill="1" applyAlignment="1">
      <alignment horizontal="left"/>
    </xf>
    <xf numFmtId="0" fontId="29" fillId="56" borderId="0" xfId="0" applyFont="1" applyFill="1" applyAlignment="1">
      <alignment horizontal="left"/>
    </xf>
    <xf numFmtId="0" fontId="29" fillId="0" borderId="0" xfId="0" applyFont="1" applyAlignment="1">
      <alignment wrapText="1"/>
    </xf>
    <xf numFmtId="10" fontId="45" fillId="75" borderId="0" xfId="12" applyNumberFormat="1" applyFont="1" applyFill="1" applyBorder="1" applyAlignment="1">
      <alignment horizontal="right" wrapText="1"/>
    </xf>
    <xf numFmtId="10" fontId="45" fillId="75" borderId="0" xfId="12" applyNumberFormat="1" applyFont="1" applyFill="1" applyAlignment="1">
      <alignment horizontal="right" wrapText="1"/>
    </xf>
    <xf numFmtId="0" fontId="29" fillId="76" borderId="23" xfId="0" applyFont="1" applyFill="1" applyBorder="1" applyAlignment="1">
      <alignment horizontal="left"/>
    </xf>
    <xf numFmtId="38" fontId="29" fillId="76" borderId="22" xfId="0" applyNumberFormat="1" applyFont="1" applyFill="1" applyBorder="1" applyAlignment="1">
      <alignment horizontal="right" wrapText="1"/>
    </xf>
    <xf numFmtId="38" fontId="29" fillId="71" borderId="22" xfId="0" applyNumberFormat="1" applyFont="1" applyFill="1" applyBorder="1" applyAlignment="1">
      <alignment horizontal="right" wrapText="1"/>
    </xf>
    <xf numFmtId="0" fontId="0" fillId="0" borderId="0" xfId="0" applyAlignment="1">
      <alignment wrapText="1"/>
    </xf>
    <xf numFmtId="10" fontId="0" fillId="56" borderId="0" xfId="0" applyNumberFormat="1" applyFill="1"/>
    <xf numFmtId="10" fontId="25" fillId="75" borderId="0" xfId="0" applyNumberFormat="1" applyFont="1" applyFill="1"/>
    <xf numFmtId="10" fontId="29" fillId="46" borderId="22" xfId="12" applyNumberFormat="1" applyFont="1" applyFill="1" applyBorder="1" applyAlignment="1">
      <alignment horizontal="right" wrapText="1"/>
    </xf>
    <xf numFmtId="38" fontId="55" fillId="0" borderId="0" xfId="0" applyNumberFormat="1" applyFont="1" applyAlignment="1">
      <alignment vertical="center"/>
    </xf>
    <xf numFmtId="10" fontId="55" fillId="0" borderId="0" xfId="0" applyNumberFormat="1" applyFont="1" applyAlignment="1">
      <alignment vertical="center"/>
    </xf>
    <xf numFmtId="184" fontId="55" fillId="0" borderId="0" xfId="0" applyNumberFormat="1" applyFont="1"/>
    <xf numFmtId="0" fontId="29" fillId="3" borderId="23" xfId="0" applyFont="1" applyFill="1" applyBorder="1" applyAlignment="1">
      <alignment horizontal="left" indent="1"/>
    </xf>
    <xf numFmtId="0" fontId="29" fillId="59" borderId="0" xfId="0" applyFont="1" applyFill="1" applyAlignment="1">
      <alignment horizontal="left"/>
    </xf>
    <xf numFmtId="38" fontId="29" fillId="59" borderId="0" xfId="0" applyNumberFormat="1" applyFont="1" applyFill="1" applyAlignment="1">
      <alignment horizontal="right" wrapText="1"/>
    </xf>
    <xf numFmtId="38" fontId="29" fillId="3" borderId="0" xfId="0" applyNumberFormat="1" applyFont="1" applyFill="1" applyAlignment="1">
      <alignment horizontal="right" wrapText="1"/>
    </xf>
    <xf numFmtId="10" fontId="35" fillId="0" borderId="24" xfId="0" applyNumberFormat="1" applyFont="1" applyBorder="1" applyAlignment="1">
      <alignment horizontal="right"/>
    </xf>
    <xf numFmtId="10" fontId="0" fillId="69" borderId="0" xfId="12" applyNumberFormat="1" applyFont="1" applyFill="1"/>
    <xf numFmtId="182" fontId="0" fillId="69" borderId="0" xfId="11" applyNumberFormat="1" applyFont="1" applyFill="1"/>
    <xf numFmtId="10" fontId="0" fillId="69" borderId="0" xfId="0" applyNumberFormat="1" applyFill="1"/>
    <xf numFmtId="2" fontId="0" fillId="69" borderId="0" xfId="0" applyNumberFormat="1" applyFill="1"/>
    <xf numFmtId="166" fontId="55" fillId="0" borderId="0" xfId="11" applyNumberFormat="1" applyFont="1" applyAlignment="1">
      <alignment horizontal="center" vertical="center"/>
    </xf>
    <xf numFmtId="166" fontId="55" fillId="0" borderId="1" xfId="0" applyNumberFormat="1" applyFont="1" applyBorder="1" applyAlignment="1">
      <alignment horizontal="center" vertical="center"/>
    </xf>
    <xf numFmtId="166" fontId="55" fillId="0" borderId="0" xfId="0" applyNumberFormat="1" applyFont="1"/>
    <xf numFmtId="183" fontId="55" fillId="74" borderId="1" xfId="11" applyNumberFormat="1" applyFont="1" applyFill="1" applyBorder="1" applyAlignment="1">
      <alignment horizontal="center" vertical="center"/>
    </xf>
    <xf numFmtId="4" fontId="54" fillId="0" borderId="0" xfId="60" applyNumberFormat="1" applyAlignment="1">
      <alignment horizontal="right" vertical="center"/>
    </xf>
    <xf numFmtId="4" fontId="55" fillId="0" borderId="0" xfId="0" applyNumberFormat="1" applyFont="1"/>
    <xf numFmtId="185" fontId="55" fillId="0" borderId="1" xfId="0" applyNumberFormat="1" applyFont="1" applyBorder="1" applyAlignment="1">
      <alignment horizontal="center" vertical="center"/>
    </xf>
    <xf numFmtId="38" fontId="29" fillId="56" borderId="0" xfId="0" applyNumberFormat="1" applyFont="1" applyFill="1" applyAlignment="1">
      <alignment horizontal="right" wrapText="1"/>
    </xf>
    <xf numFmtId="43" fontId="55" fillId="0" borderId="0" xfId="0" applyNumberFormat="1" applyFont="1"/>
    <xf numFmtId="8" fontId="55" fillId="0" borderId="1" xfId="0" applyNumberFormat="1" applyFont="1" applyBorder="1" applyAlignment="1">
      <alignment horizontal="center" vertical="center"/>
    </xf>
    <xf numFmtId="4" fontId="60" fillId="0" borderId="0" xfId="0" applyNumberFormat="1" applyFont="1"/>
    <xf numFmtId="0" fontId="60" fillId="77" borderId="39" xfId="0" applyFont="1" applyFill="1" applyBorder="1" applyAlignment="1">
      <alignment horizontal="right" vertical="center" wrapText="1"/>
    </xf>
    <xf numFmtId="174" fontId="29" fillId="78" borderId="40" xfId="0" applyNumberFormat="1" applyFont="1" applyFill="1" applyBorder="1" applyAlignment="1">
      <alignment wrapText="1"/>
    </xf>
    <xf numFmtId="0" fontId="29" fillId="0" borderId="31" xfId="0" applyFont="1" applyBorder="1"/>
    <xf numFmtId="40" fontId="0" fillId="0" borderId="0" xfId="0" applyNumberFormat="1"/>
    <xf numFmtId="174" fontId="29" fillId="78" borderId="41" xfId="0" applyNumberFormat="1" applyFont="1" applyFill="1" applyBorder="1" applyAlignment="1">
      <alignment wrapText="1"/>
    </xf>
    <xf numFmtId="166" fontId="55" fillId="0" borderId="3" xfId="11" applyNumberFormat="1" applyFont="1" applyBorder="1" applyAlignment="1">
      <alignment horizontal="center" vertical="center"/>
    </xf>
    <xf numFmtId="166" fontId="55" fillId="5" borderId="0" xfId="11" applyNumberFormat="1" applyFont="1" applyFill="1"/>
    <xf numFmtId="166" fontId="55" fillId="0" borderId="42" xfId="11" applyNumberFormat="1" applyFont="1" applyBorder="1" applyAlignment="1">
      <alignment horizontal="center" vertical="center"/>
    </xf>
    <xf numFmtId="186" fontId="57" fillId="60" borderId="0" xfId="11" applyNumberFormat="1" applyFont="1" applyFill="1" applyBorder="1" applyAlignment="1">
      <alignment horizontal="center" vertical="center"/>
    </xf>
    <xf numFmtId="186" fontId="62" fillId="74" borderId="0" xfId="11" applyNumberFormat="1" applyFont="1" applyFill="1" applyBorder="1" applyAlignment="1">
      <alignment horizontal="center" vertical="center"/>
    </xf>
    <xf numFmtId="186" fontId="61" fillId="74" borderId="0" xfId="11" applyNumberFormat="1" applyFont="1" applyFill="1" applyBorder="1" applyAlignment="1">
      <alignment horizontal="center" vertical="center"/>
    </xf>
    <xf numFmtId="166" fontId="55" fillId="0" borderId="8" xfId="11" applyNumberFormat="1" applyFont="1" applyBorder="1" applyAlignment="1">
      <alignment horizontal="center" vertical="center"/>
    </xf>
    <xf numFmtId="166" fontId="55" fillId="0" borderId="8" xfId="0" applyNumberFormat="1" applyFont="1" applyBorder="1" applyAlignment="1">
      <alignment horizontal="center" vertical="center"/>
    </xf>
    <xf numFmtId="186" fontId="57" fillId="79" borderId="0" xfId="11" applyNumberFormat="1" applyFont="1" applyFill="1" applyBorder="1" applyAlignment="1">
      <alignment horizontal="center" vertical="center"/>
    </xf>
    <xf numFmtId="186" fontId="57" fillId="79" borderId="0" xfId="0" applyNumberFormat="1" applyFont="1" applyFill="1" applyAlignment="1">
      <alignment horizontal="center" vertical="center"/>
    </xf>
    <xf numFmtId="186" fontId="63" fillId="71" borderId="0" xfId="0" applyNumberFormat="1" applyFont="1" applyFill="1" applyAlignment="1">
      <alignment horizontal="center" vertical="center"/>
    </xf>
    <xf numFmtId="186" fontId="64" fillId="71" borderId="0" xfId="11" applyNumberFormat="1" applyFont="1" applyFill="1" applyBorder="1" applyAlignment="1">
      <alignment horizontal="center" vertical="center"/>
    </xf>
    <xf numFmtId="0" fontId="0" fillId="0" borderId="43" xfId="0" applyBorder="1"/>
    <xf numFmtId="0" fontId="65" fillId="0" borderId="44" xfId="0" applyFont="1" applyBorder="1" applyAlignment="1">
      <alignment horizontal="center"/>
    </xf>
    <xf numFmtId="0" fontId="0" fillId="80" borderId="0" xfId="0" applyFill="1"/>
    <xf numFmtId="10" fontId="55" fillId="0" borderId="0" xfId="0" applyNumberFormat="1" applyFont="1" applyAlignment="1">
      <alignment horizontal="center" vertical="center"/>
    </xf>
    <xf numFmtId="188" fontId="0" fillId="0" borderId="0" xfId="0" applyNumberFormat="1" applyAlignment="1">
      <alignment vertical="center"/>
    </xf>
    <xf numFmtId="186" fontId="66" fillId="60" borderId="0" xfId="11" applyNumberFormat="1" applyFont="1" applyFill="1" applyAlignment="1">
      <alignment horizontal="center" vertical="center"/>
    </xf>
    <xf numFmtId="0" fontId="67" fillId="0" borderId="0" xfId="0" applyFont="1" applyAlignment="1">
      <alignment horizontal="center" vertical="center"/>
    </xf>
    <xf numFmtId="186" fontId="68" fillId="74" borderId="0" xfId="11" applyNumberFormat="1" applyFont="1" applyFill="1" applyAlignment="1">
      <alignment horizontal="center" vertical="center"/>
    </xf>
    <xf numFmtId="186" fontId="69" fillId="74" borderId="0" xfId="11" applyNumberFormat="1" applyFont="1" applyFill="1" applyAlignment="1">
      <alignment horizontal="center" vertical="center"/>
    </xf>
    <xf numFmtId="186" fontId="66" fillId="79" borderId="0" xfId="11" applyNumberFormat="1" applyFont="1" applyFill="1" applyAlignment="1">
      <alignment horizontal="center" vertical="center"/>
    </xf>
    <xf numFmtId="186" fontId="71" fillId="71" borderId="0" xfId="11" applyNumberFormat="1" applyFont="1" applyFill="1" applyAlignment="1">
      <alignment horizontal="center" vertical="center"/>
    </xf>
    <xf numFmtId="10" fontId="55" fillId="0" borderId="0" xfId="12" applyNumberFormat="1" applyFont="1" applyAlignment="1">
      <alignment vertical="center"/>
    </xf>
    <xf numFmtId="9" fontId="55" fillId="0" borderId="0" xfId="0" applyNumberFormat="1" applyFont="1"/>
    <xf numFmtId="179" fontId="55" fillId="0" borderId="0" xfId="0" applyNumberFormat="1" applyFont="1"/>
    <xf numFmtId="0" fontId="66" fillId="60" borderId="0" xfId="11" applyNumberFormat="1" applyFont="1" applyFill="1" applyAlignment="1">
      <alignment horizontal="center" vertical="center"/>
    </xf>
    <xf numFmtId="10" fontId="69" fillId="74" borderId="0" xfId="12" applyNumberFormat="1" applyFont="1" applyFill="1" applyAlignment="1">
      <alignment horizontal="center" vertical="center"/>
    </xf>
    <xf numFmtId="0" fontId="0" fillId="0" borderId="0" xfId="2" applyFont="1" applyAlignment="1">
      <alignment vertical="center"/>
    </xf>
    <xf numFmtId="0" fontId="0" fillId="3" borderId="0" xfId="2" applyFont="1" applyFill="1" applyAlignment="1">
      <alignment vertical="center"/>
    </xf>
    <xf numFmtId="10" fontId="0" fillId="13" borderId="1" xfId="12" applyNumberFormat="1" applyFont="1" applyFill="1" applyBorder="1" applyAlignment="1">
      <alignment horizontal="center" vertical="center"/>
    </xf>
    <xf numFmtId="0" fontId="65" fillId="0" borderId="44" xfId="0" applyFont="1" applyBorder="1" applyAlignment="1">
      <alignment horizontal="centerContinuous"/>
    </xf>
    <xf numFmtId="9" fontId="0" fillId="0" borderId="0" xfId="12" applyFont="1"/>
    <xf numFmtId="2" fontId="72" fillId="0" borderId="0" xfId="0" applyNumberFormat="1" applyFont="1"/>
    <xf numFmtId="186" fontId="0" fillId="0" borderId="0" xfId="0" applyNumberFormat="1"/>
    <xf numFmtId="3" fontId="0" fillId="0" borderId="0" xfId="0" applyNumberFormat="1" applyAlignment="1">
      <alignment horizontal="center"/>
    </xf>
    <xf numFmtId="0" fontId="57" fillId="56" borderId="1" xfId="0" applyFont="1" applyFill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6" fillId="0" borderId="0" xfId="2" applyFont="1" applyAlignment="1">
      <alignment vertical="center"/>
    </xf>
    <xf numFmtId="0" fontId="6" fillId="3" borderId="0" xfId="2" applyFont="1" applyFill="1" applyAlignment="1">
      <alignment vertical="center"/>
    </xf>
    <xf numFmtId="0" fontId="57" fillId="56" borderId="1" xfId="0" applyFont="1" applyFill="1" applyBorder="1" applyAlignment="1">
      <alignment horizontal="center" vertical="center"/>
    </xf>
    <xf numFmtId="0" fontId="56" fillId="56" borderId="0" xfId="0" applyFont="1" applyFill="1" applyAlignment="1">
      <alignment horizontal="center" vertical="center" wrapText="1"/>
    </xf>
    <xf numFmtId="0" fontId="58" fillId="13" borderId="1" xfId="0" applyFont="1" applyFill="1" applyBorder="1" applyAlignment="1">
      <alignment horizontal="center" vertical="center"/>
    </xf>
    <xf numFmtId="186" fontId="64" fillId="71" borderId="0" xfId="11" applyNumberFormat="1" applyFont="1" applyFill="1" applyBorder="1" applyAlignment="1">
      <alignment horizontal="center" vertical="center"/>
    </xf>
    <xf numFmtId="10" fontId="63" fillId="71" borderId="0" xfId="12" applyNumberFormat="1" applyFont="1" applyFill="1" applyBorder="1" applyAlignment="1">
      <alignment horizontal="center" vertical="center"/>
    </xf>
    <xf numFmtId="186" fontId="63" fillId="71" borderId="0" xfId="11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9" fillId="0" borderId="22" xfId="0" applyFont="1" applyBorder="1" applyAlignment="1">
      <alignment horizontal="left"/>
    </xf>
    <xf numFmtId="0" fontId="29" fillId="0" borderId="23" xfId="0" applyFont="1" applyBorder="1" applyAlignment="1">
      <alignment horizontal="left"/>
    </xf>
    <xf numFmtId="0" fontId="29" fillId="0" borderId="31" xfId="0" applyFont="1" applyBorder="1" applyAlignment="1">
      <alignment horizontal="left"/>
    </xf>
    <xf numFmtId="0" fontId="29" fillId="0" borderId="32" xfId="0" applyFont="1" applyBorder="1" applyAlignment="1">
      <alignment horizontal="left"/>
    </xf>
    <xf numFmtId="0" fontId="9" fillId="59" borderId="31" xfId="0" applyFont="1" applyFill="1" applyBorder="1" applyAlignment="1">
      <alignment horizontal="left"/>
    </xf>
    <xf numFmtId="0" fontId="9" fillId="59" borderId="32" xfId="0" applyFont="1" applyFill="1" applyBorder="1" applyAlignment="1">
      <alignment horizontal="left"/>
    </xf>
    <xf numFmtId="0" fontId="30" fillId="45" borderId="33" xfId="0" applyFont="1" applyFill="1" applyBorder="1" applyAlignment="1">
      <alignment horizontal="center"/>
    </xf>
    <xf numFmtId="0" fontId="30" fillId="45" borderId="34" xfId="0" applyFont="1" applyFill="1" applyBorder="1" applyAlignment="1">
      <alignment horizontal="center"/>
    </xf>
    <xf numFmtId="186" fontId="70" fillId="71" borderId="0" xfId="11" applyNumberFormat="1" applyFont="1" applyFill="1" applyAlignment="1">
      <alignment horizontal="center" vertical="center"/>
    </xf>
    <xf numFmtId="186" fontId="71" fillId="71" borderId="0" xfId="11" applyNumberFormat="1" applyFont="1" applyFill="1" applyAlignment="1">
      <alignment horizontal="center" vertical="center"/>
    </xf>
    <xf numFmtId="10" fontId="70" fillId="71" borderId="0" xfId="12" applyNumberFormat="1" applyFont="1" applyFill="1" applyAlignment="1">
      <alignment horizontal="center" vertical="center"/>
    </xf>
    <xf numFmtId="10" fontId="70" fillId="71" borderId="0" xfId="11" applyNumberFormat="1" applyFont="1" applyFill="1" applyAlignment="1">
      <alignment horizontal="center" vertical="center"/>
    </xf>
    <xf numFmtId="186" fontId="70" fillId="71" borderId="0" xfId="0" applyNumberFormat="1" applyFont="1" applyFill="1" applyAlignment="1">
      <alignment horizontal="center" vertical="center"/>
    </xf>
    <xf numFmtId="0" fontId="29" fillId="51" borderId="22" xfId="0" applyFont="1" applyFill="1" applyBorder="1" applyAlignment="1">
      <alignment horizontal="left" indent="1"/>
    </xf>
    <xf numFmtId="0" fontId="29" fillId="51" borderId="23" xfId="0" applyFont="1" applyFill="1" applyBorder="1" applyAlignment="1">
      <alignment horizontal="left" indent="1"/>
    </xf>
    <xf numFmtId="0" fontId="35" fillId="46" borderId="24" xfId="0" applyFont="1" applyFill="1" applyBorder="1" applyAlignment="1">
      <alignment horizontal="left" wrapText="1" indent="1"/>
    </xf>
    <xf numFmtId="0" fontId="35" fillId="46" borderId="21" xfId="0" applyFont="1" applyFill="1" applyBorder="1" applyAlignment="1">
      <alignment horizontal="left" wrapText="1" indent="1"/>
    </xf>
    <xf numFmtId="0" fontId="29" fillId="59" borderId="22" xfId="0" applyFont="1" applyFill="1" applyBorder="1" applyAlignment="1">
      <alignment horizontal="left"/>
    </xf>
    <xf numFmtId="0" fontId="29" fillId="59" borderId="23" xfId="0" applyFont="1" applyFill="1" applyBorder="1" applyAlignment="1">
      <alignment horizontal="left"/>
    </xf>
    <xf numFmtId="0" fontId="35" fillId="59" borderId="24" xfId="0" applyFont="1" applyFill="1" applyBorder="1" applyAlignment="1">
      <alignment horizontal="left" wrapText="1"/>
    </xf>
    <xf numFmtId="0" fontId="35" fillId="59" borderId="21" xfId="0" applyFont="1" applyFill="1" applyBorder="1" applyAlignment="1">
      <alignment horizontal="left" wrapText="1"/>
    </xf>
    <xf numFmtId="0" fontId="35" fillId="0" borderId="24" xfId="0" applyFont="1" applyBorder="1" applyAlignment="1">
      <alignment horizontal="left" wrapText="1"/>
    </xf>
    <xf numFmtId="0" fontId="35" fillId="0" borderId="21" xfId="0" applyFont="1" applyBorder="1" applyAlignment="1">
      <alignment horizontal="left" wrapText="1"/>
    </xf>
    <xf numFmtId="0" fontId="29" fillId="52" borderId="24" xfId="0" applyFont="1" applyFill="1" applyBorder="1" applyAlignment="1">
      <alignment horizontal="left" wrapText="1"/>
    </xf>
    <xf numFmtId="0" fontId="29" fillId="59" borderId="31" xfId="0" applyFont="1" applyFill="1" applyBorder="1" applyAlignment="1">
      <alignment horizontal="left" wrapText="1"/>
    </xf>
    <xf numFmtId="0" fontId="29" fillId="59" borderId="32" xfId="0" applyFont="1" applyFill="1" applyBorder="1" applyAlignment="1">
      <alignment horizontal="left" wrapText="1"/>
    </xf>
    <xf numFmtId="38" fontId="29" fillId="46" borderId="22" xfId="0" applyNumberFormat="1" applyFont="1" applyFill="1" applyBorder="1" applyAlignment="1">
      <alignment horizontal="right" wrapText="1"/>
    </xf>
    <xf numFmtId="38" fontId="29" fillId="46" borderId="0" xfId="0" applyNumberFormat="1" applyFont="1" applyFill="1" applyAlignment="1">
      <alignment horizontal="right" wrapText="1"/>
    </xf>
    <xf numFmtId="0" fontId="29" fillId="51" borderId="22" xfId="0" applyFont="1" applyFill="1" applyBorder="1" applyAlignment="1">
      <alignment horizontal="left" wrapText="1" indent="2"/>
    </xf>
    <xf numFmtId="0" fontId="29" fillId="51" borderId="23" xfId="0" applyFont="1" applyFill="1" applyBorder="1" applyAlignment="1">
      <alignment horizontal="left" wrapText="1" indent="2"/>
    </xf>
    <xf numFmtId="0" fontId="29" fillId="51" borderId="0" xfId="0" applyFont="1" applyFill="1" applyAlignment="1">
      <alignment horizontal="left" wrapText="1" indent="2"/>
    </xf>
    <xf numFmtId="0" fontId="29" fillId="51" borderId="26" xfId="0" applyFont="1" applyFill="1" applyBorder="1" applyAlignment="1">
      <alignment horizontal="left" wrapText="1" indent="2"/>
    </xf>
    <xf numFmtId="0" fontId="29" fillId="51" borderId="24" xfId="0" applyFont="1" applyFill="1" applyBorder="1" applyAlignment="1">
      <alignment horizontal="left" wrapText="1" indent="2"/>
    </xf>
    <xf numFmtId="0" fontId="29" fillId="51" borderId="21" xfId="0" applyFont="1" applyFill="1" applyBorder="1" applyAlignment="1">
      <alignment horizontal="left" wrapText="1" indent="2"/>
    </xf>
    <xf numFmtId="38" fontId="29" fillId="46" borderId="24" xfId="0" applyNumberFormat="1" applyFont="1" applyFill="1" applyBorder="1" applyAlignment="1">
      <alignment horizontal="right" wrapText="1"/>
    </xf>
    <xf numFmtId="0" fontId="29" fillId="52" borderId="24" xfId="0" applyFont="1" applyFill="1" applyBorder="1" applyAlignment="1">
      <alignment horizontal="left"/>
    </xf>
    <xf numFmtId="0" fontId="29" fillId="59" borderId="31" xfId="0" applyFont="1" applyFill="1" applyBorder="1" applyAlignment="1">
      <alignment horizontal="left"/>
    </xf>
    <xf numFmtId="0" fontId="29" fillId="59" borderId="32" xfId="0" applyFont="1" applyFill="1" applyBorder="1" applyAlignment="1">
      <alignment horizontal="left"/>
    </xf>
    <xf numFmtId="0" fontId="29" fillId="51" borderId="31" xfId="0" applyFont="1" applyFill="1" applyBorder="1" applyAlignment="1">
      <alignment horizontal="left" indent="2"/>
    </xf>
    <xf numFmtId="0" fontId="29" fillId="51" borderId="32" xfId="0" applyFont="1" applyFill="1" applyBorder="1" applyAlignment="1">
      <alignment horizontal="left" indent="2"/>
    </xf>
    <xf numFmtId="0" fontId="29" fillId="0" borderId="31" xfId="0" applyFont="1" applyBorder="1" applyAlignment="1">
      <alignment horizontal="left" wrapText="1"/>
    </xf>
    <xf numFmtId="0" fontId="29" fillId="3" borderId="31" xfId="0" applyFont="1" applyFill="1" applyBorder="1" applyAlignment="1">
      <alignment horizontal="left"/>
    </xf>
    <xf numFmtId="0" fontId="29" fillId="3" borderId="32" xfId="0" applyFont="1" applyFill="1" applyBorder="1" applyAlignment="1">
      <alignment horizontal="left"/>
    </xf>
    <xf numFmtId="0" fontId="29" fillId="72" borderId="31" xfId="0" applyFont="1" applyFill="1" applyBorder="1" applyAlignment="1">
      <alignment horizontal="left"/>
    </xf>
    <xf numFmtId="0" fontId="29" fillId="72" borderId="32" xfId="0" applyFont="1" applyFill="1" applyBorder="1" applyAlignment="1">
      <alignment horizontal="left"/>
    </xf>
    <xf numFmtId="0" fontId="29" fillId="46" borderId="31" xfId="0" applyFont="1" applyFill="1" applyBorder="1" applyAlignment="1">
      <alignment horizontal="right"/>
    </xf>
    <xf numFmtId="0" fontId="29" fillId="46" borderId="32" xfId="0" applyFont="1" applyFill="1" applyBorder="1" applyAlignment="1">
      <alignment horizontal="right"/>
    </xf>
    <xf numFmtId="0" fontId="30" fillId="45" borderId="27" xfId="0" applyFont="1" applyFill="1" applyBorder="1" applyAlignment="1">
      <alignment horizontal="left"/>
    </xf>
    <xf numFmtId="0" fontId="30" fillId="45" borderId="28" xfId="0" applyFont="1" applyFill="1" applyBorder="1" applyAlignment="1">
      <alignment horizontal="left"/>
    </xf>
    <xf numFmtId="0" fontId="9" fillId="46" borderId="20" xfId="0" applyFont="1" applyFill="1" applyBorder="1" applyAlignment="1">
      <alignment horizontal="left"/>
    </xf>
    <xf numFmtId="0" fontId="9" fillId="46" borderId="19" xfId="0" applyFont="1" applyFill="1" applyBorder="1" applyAlignment="1">
      <alignment horizontal="left"/>
    </xf>
    <xf numFmtId="0" fontId="29" fillId="46" borderId="29" xfId="0" applyFont="1" applyFill="1" applyBorder="1" applyAlignment="1">
      <alignment horizontal="right"/>
    </xf>
    <xf numFmtId="0" fontId="29" fillId="46" borderId="30" xfId="0" applyFont="1" applyFill="1" applyBorder="1" applyAlignment="1">
      <alignment horizontal="right"/>
    </xf>
    <xf numFmtId="0" fontId="48" fillId="0" borderId="31" xfId="0" applyFont="1" applyBorder="1"/>
    <xf numFmtId="0" fontId="48" fillId="0" borderId="32" xfId="0" applyFont="1" applyBorder="1"/>
    <xf numFmtId="0" fontId="49" fillId="62" borderId="33" xfId="0" applyFont="1" applyFill="1" applyBorder="1"/>
    <xf numFmtId="0" fontId="49" fillId="62" borderId="34" xfId="0" applyFont="1" applyFill="1" applyBorder="1"/>
    <xf numFmtId="0" fontId="50" fillId="64" borderId="31" xfId="0" applyFont="1" applyFill="1" applyBorder="1"/>
    <xf numFmtId="0" fontId="50" fillId="64" borderId="32" xfId="0" applyFont="1" applyFill="1" applyBorder="1"/>
    <xf numFmtId="0" fontId="48" fillId="0" borderId="22" xfId="0" applyFont="1" applyBorder="1"/>
    <xf numFmtId="0" fontId="48" fillId="0" borderId="23" xfId="0" applyFont="1" applyBorder="1"/>
    <xf numFmtId="0" fontId="52" fillId="70" borderId="22" xfId="0" applyFont="1" applyFill="1" applyBorder="1" applyAlignment="1">
      <alignment horizontal="right" wrapText="1"/>
    </xf>
    <xf numFmtId="0" fontId="52" fillId="70" borderId="24" xfId="0" applyFont="1" applyFill="1" applyBorder="1" applyAlignment="1">
      <alignment horizontal="right" wrapText="1"/>
    </xf>
    <xf numFmtId="0" fontId="52" fillId="63" borderId="22" xfId="0" applyFont="1" applyFill="1" applyBorder="1" applyAlignment="1">
      <alignment horizontal="right" wrapText="1"/>
    </xf>
    <xf numFmtId="0" fontId="52" fillId="63" borderId="24" xfId="0" applyFont="1" applyFill="1" applyBorder="1" applyAlignment="1">
      <alignment horizontal="right" wrapText="1"/>
    </xf>
    <xf numFmtId="0" fontId="52" fillId="70" borderId="0" xfId="0" applyFont="1" applyFill="1" applyAlignment="1">
      <alignment horizontal="right" wrapText="1"/>
    </xf>
    <xf numFmtId="0" fontId="29" fillId="51" borderId="22" xfId="0" applyFont="1" applyFill="1" applyBorder="1" applyAlignment="1">
      <alignment horizontal="left" indent="2"/>
    </xf>
    <xf numFmtId="0" fontId="29" fillId="51" borderId="23" xfId="0" applyFont="1" applyFill="1" applyBorder="1" applyAlignment="1">
      <alignment horizontal="left" indent="2"/>
    </xf>
    <xf numFmtId="0" fontId="35" fillId="46" borderId="24" xfId="0" applyFont="1" applyFill="1" applyBorder="1" applyAlignment="1">
      <alignment horizontal="left" wrapText="1" indent="2"/>
    </xf>
    <xf numFmtId="0" fontId="35" fillId="46" borderId="21" xfId="0" applyFont="1" applyFill="1" applyBorder="1" applyAlignment="1">
      <alignment horizontal="left" wrapText="1" indent="2"/>
    </xf>
    <xf numFmtId="0" fontId="29" fillId="52" borderId="31" xfId="0" applyFont="1" applyFill="1" applyBorder="1" applyAlignment="1">
      <alignment horizontal="left"/>
    </xf>
    <xf numFmtId="0" fontId="29" fillId="52" borderId="31" xfId="0" applyFont="1" applyFill="1" applyBorder="1" applyAlignment="1">
      <alignment horizontal="left" wrapText="1"/>
    </xf>
    <xf numFmtId="38" fontId="29" fillId="69" borderId="22" xfId="0" applyNumberFormat="1" applyFont="1" applyFill="1" applyBorder="1" applyAlignment="1">
      <alignment horizontal="right" wrapText="1"/>
    </xf>
    <xf numFmtId="38" fontId="29" fillId="69" borderId="0" xfId="0" applyNumberFormat="1" applyFont="1" applyFill="1" applyAlignment="1">
      <alignment horizontal="right" wrapText="1"/>
    </xf>
    <xf numFmtId="38" fontId="29" fillId="69" borderId="24" xfId="0" applyNumberFormat="1" applyFont="1" applyFill="1" applyBorder="1" applyAlignment="1">
      <alignment horizontal="right" wrapText="1"/>
    </xf>
    <xf numFmtId="0" fontId="29" fillId="51" borderId="22" xfId="0" applyFont="1" applyFill="1" applyBorder="1" applyAlignment="1">
      <alignment horizontal="left" wrapText="1" indent="1"/>
    </xf>
    <xf numFmtId="0" fontId="29" fillId="51" borderId="23" xfId="0" applyFont="1" applyFill="1" applyBorder="1" applyAlignment="1">
      <alignment horizontal="left" wrapText="1" indent="1"/>
    </xf>
    <xf numFmtId="0" fontId="29" fillId="51" borderId="0" xfId="0" applyFont="1" applyFill="1" applyAlignment="1">
      <alignment horizontal="left" wrapText="1" indent="1"/>
    </xf>
    <xf numFmtId="0" fontId="29" fillId="51" borderId="26" xfId="0" applyFont="1" applyFill="1" applyBorder="1" applyAlignment="1">
      <alignment horizontal="left" wrapText="1" indent="1"/>
    </xf>
    <xf numFmtId="0" fontId="29" fillId="51" borderId="24" xfId="0" applyFont="1" applyFill="1" applyBorder="1" applyAlignment="1">
      <alignment horizontal="left" wrapText="1" indent="1"/>
    </xf>
    <xf numFmtId="0" fontId="29" fillId="51" borderId="21" xfId="0" applyFont="1" applyFill="1" applyBorder="1" applyAlignment="1">
      <alignment horizontal="left" wrapText="1" indent="1"/>
    </xf>
    <xf numFmtId="0" fontId="31" fillId="46" borderId="20" xfId="0" applyFont="1" applyFill="1" applyBorder="1" applyAlignment="1">
      <alignment horizontal="left"/>
    </xf>
    <xf numFmtId="0" fontId="31" fillId="46" borderId="19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0" xfId="5" applyAlignment="1">
      <alignment horizontal="center" vertical="center"/>
    </xf>
    <xf numFmtId="167" fontId="11" fillId="0" borderId="0" xfId="0" applyNumberFormat="1" applyFont="1" applyAlignment="1">
      <alignment wrapText="1"/>
    </xf>
    <xf numFmtId="167" fontId="10" fillId="0" borderId="0" xfId="0" applyNumberFormat="1" applyFont="1" applyAlignment="1">
      <alignment wrapText="1"/>
    </xf>
    <xf numFmtId="167" fontId="11" fillId="6" borderId="1" xfId="0" applyNumberFormat="1" applyFont="1" applyFill="1" applyBorder="1" applyAlignment="1">
      <alignment wrapText="1"/>
    </xf>
    <xf numFmtId="167" fontId="11" fillId="11" borderId="1" xfId="0" applyNumberFormat="1" applyFont="1" applyFill="1" applyBorder="1"/>
    <xf numFmtId="0" fontId="55" fillId="0" borderId="0" xfId="0" applyFont="1" applyBorder="1" applyAlignment="1">
      <alignment horizontal="center" vertical="center"/>
    </xf>
    <xf numFmtId="166" fontId="55" fillId="0" borderId="0" xfId="11" applyNumberFormat="1" applyFont="1" applyBorder="1" applyAlignment="1">
      <alignment horizontal="center" vertical="center"/>
    </xf>
    <xf numFmtId="38" fontId="29" fillId="56" borderId="0" xfId="0" applyNumberFormat="1" applyFont="1" applyFill="1" applyBorder="1" applyAlignment="1">
      <alignment horizontal="right" wrapText="1"/>
    </xf>
    <xf numFmtId="0" fontId="58" fillId="0" borderId="0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43" fontId="57" fillId="0" borderId="0" xfId="11" applyFont="1" applyFill="1" applyBorder="1" applyAlignment="1">
      <alignment horizontal="center" vertical="center"/>
    </xf>
    <xf numFmtId="0" fontId="57" fillId="0" borderId="0" xfId="0" applyFont="1" applyFill="1" applyBorder="1" applyAlignment="1">
      <alignment horizontal="center" vertical="center"/>
    </xf>
    <xf numFmtId="166" fontId="56" fillId="0" borderId="0" xfId="11" applyNumberFormat="1" applyFont="1" applyFill="1" applyBorder="1" applyAlignment="1">
      <alignment horizontal="center" vertical="center"/>
    </xf>
    <xf numFmtId="10" fontId="55" fillId="0" borderId="0" xfId="0" applyNumberFormat="1" applyFont="1" applyFill="1" applyBorder="1" applyAlignment="1">
      <alignment horizontal="center" vertical="center"/>
    </xf>
    <xf numFmtId="10" fontId="55" fillId="0" borderId="0" xfId="12" applyNumberFormat="1" applyFont="1" applyFill="1" applyBorder="1" applyAlignment="1">
      <alignment horizontal="center" vertical="center"/>
    </xf>
    <xf numFmtId="168" fontId="55" fillId="0" borderId="0" xfId="0" applyNumberFormat="1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9" fontId="55" fillId="0" borderId="0" xfId="0" applyNumberFormat="1" applyFont="1" applyFill="1" applyBorder="1" applyAlignment="1">
      <alignment horizontal="center" vertical="center"/>
    </xf>
    <xf numFmtId="9" fontId="55" fillId="0" borderId="0" xfId="12" applyFont="1" applyFill="1" applyBorder="1" applyAlignment="1">
      <alignment horizontal="center" vertical="center"/>
    </xf>
    <xf numFmtId="179" fontId="55" fillId="0" borderId="0" xfId="0" applyNumberFormat="1" applyFont="1" applyFill="1" applyBorder="1" applyAlignment="1">
      <alignment horizontal="center" vertical="center"/>
    </xf>
    <xf numFmtId="166" fontId="55" fillId="0" borderId="0" xfId="11" applyNumberFormat="1" applyFont="1" applyFill="1" applyBorder="1" applyAlignment="1">
      <alignment horizontal="center" vertical="center"/>
    </xf>
    <xf numFmtId="43" fontId="55" fillId="0" borderId="0" xfId="0" applyNumberFormat="1" applyFont="1" applyFill="1" applyBorder="1" applyAlignment="1">
      <alignment horizontal="center" vertical="center"/>
    </xf>
    <xf numFmtId="0" fontId="55" fillId="0" borderId="0" xfId="0" applyFont="1" applyFill="1" applyAlignment="1">
      <alignment horizontal="center" vertical="center"/>
    </xf>
    <xf numFmtId="43" fontId="55" fillId="0" borderId="0" xfId="0" applyNumberFormat="1" applyFont="1" applyFill="1" applyAlignment="1">
      <alignment horizontal="center" vertical="center"/>
    </xf>
    <xf numFmtId="166" fontId="55" fillId="0" borderId="0" xfId="0" applyNumberFormat="1" applyFont="1" applyFill="1" applyAlignment="1">
      <alignment horizontal="center" vertical="center"/>
    </xf>
    <xf numFmtId="166" fontId="56" fillId="0" borderId="0" xfId="0" applyNumberFormat="1" applyFont="1" applyFill="1" applyAlignment="1">
      <alignment horizontal="center" vertical="center"/>
    </xf>
    <xf numFmtId="187" fontId="55" fillId="0" borderId="0" xfId="12" applyNumberFormat="1" applyFont="1" applyFill="1" applyAlignment="1">
      <alignment horizontal="center" vertical="center"/>
    </xf>
    <xf numFmtId="10" fontId="55" fillId="0" borderId="0" xfId="12" applyNumberFormat="1" applyFont="1" applyFill="1" applyAlignment="1">
      <alignment horizontal="center" vertical="center"/>
    </xf>
    <xf numFmtId="2" fontId="0" fillId="0" borderId="0" xfId="0" applyNumberFormat="1" applyFill="1"/>
    <xf numFmtId="0" fontId="0" fillId="0" borderId="0" xfId="0" applyFill="1"/>
    <xf numFmtId="182" fontId="0" fillId="0" borderId="0" xfId="11" applyNumberFormat="1" applyFont="1" applyFill="1"/>
    <xf numFmtId="38" fontId="29" fillId="0" borderId="0" xfId="0" applyNumberFormat="1" applyFont="1" applyFill="1" applyBorder="1" applyAlignment="1">
      <alignment horizontal="right" wrapText="1"/>
    </xf>
    <xf numFmtId="186" fontId="57" fillId="0" borderId="0" xfId="11" applyNumberFormat="1" applyFont="1" applyFill="1" applyBorder="1" applyAlignment="1">
      <alignment horizontal="center" vertical="center"/>
    </xf>
    <xf numFmtId="186" fontId="61" fillId="0" borderId="0" xfId="11" applyNumberFormat="1" applyFont="1" applyFill="1" applyBorder="1" applyAlignment="1">
      <alignment horizontal="center" vertical="center"/>
    </xf>
    <xf numFmtId="186" fontId="57" fillId="0" borderId="0" xfId="0" applyNumberFormat="1" applyFont="1" applyFill="1" applyAlignment="1">
      <alignment horizontal="center" vertical="center"/>
    </xf>
    <xf numFmtId="10" fontId="63" fillId="0" borderId="0" xfId="12" applyNumberFormat="1" applyFont="1" applyFill="1" applyBorder="1" applyAlignment="1">
      <alignment horizontal="center" vertical="center"/>
    </xf>
    <xf numFmtId="186" fontId="63" fillId="0" borderId="0" xfId="11" applyNumberFormat="1" applyFont="1" applyFill="1" applyBorder="1" applyAlignment="1">
      <alignment horizontal="center" vertical="center"/>
    </xf>
    <xf numFmtId="186" fontId="63" fillId="0" borderId="0" xfId="0" applyNumberFormat="1" applyFont="1" applyFill="1" applyAlignment="1">
      <alignment horizontal="center" vertical="center"/>
    </xf>
    <xf numFmtId="186" fontId="64" fillId="0" borderId="0" xfId="11" applyNumberFormat="1" applyFont="1" applyFill="1" applyBorder="1" applyAlignment="1">
      <alignment horizontal="center" vertical="center"/>
    </xf>
    <xf numFmtId="166" fontId="55" fillId="0" borderId="0" xfId="0" applyNumberFormat="1" applyFont="1" applyFill="1" applyBorder="1" applyAlignment="1">
      <alignment horizontal="center" vertical="center"/>
    </xf>
    <xf numFmtId="185" fontId="55" fillId="0" borderId="0" xfId="0" applyNumberFormat="1" applyFont="1" applyFill="1" applyBorder="1" applyAlignment="1">
      <alignment horizontal="center" vertical="center"/>
    </xf>
    <xf numFmtId="43" fontId="55" fillId="0" borderId="0" xfId="11" applyFont="1" applyFill="1" applyBorder="1" applyAlignment="1">
      <alignment horizontal="center" vertical="center"/>
    </xf>
    <xf numFmtId="0" fontId="55" fillId="0" borderId="0" xfId="0" applyFont="1" applyFill="1"/>
    <xf numFmtId="0" fontId="55" fillId="0" borderId="42" xfId="0" applyFont="1" applyBorder="1" applyAlignment="1">
      <alignment horizontal="center" vertical="center"/>
    </xf>
    <xf numFmtId="10" fontId="55" fillId="0" borderId="42" xfId="12" applyNumberFormat="1" applyFont="1" applyBorder="1" applyAlignment="1">
      <alignment horizontal="center" vertical="center"/>
    </xf>
    <xf numFmtId="38" fontId="73" fillId="0" borderId="1" xfId="0" applyNumberFormat="1" applyFont="1" applyFill="1" applyBorder="1" applyAlignment="1">
      <alignment horizontal="right" wrapText="1"/>
    </xf>
    <xf numFmtId="38" fontId="29" fillId="56" borderId="1" xfId="0" applyNumberFormat="1" applyFont="1" applyFill="1" applyBorder="1" applyAlignment="1">
      <alignment horizontal="right" wrapText="1"/>
    </xf>
    <xf numFmtId="166" fontId="56" fillId="0" borderId="1" xfId="0" applyNumberFormat="1" applyFont="1" applyBorder="1" applyAlignment="1">
      <alignment horizontal="center" vertical="center"/>
    </xf>
    <xf numFmtId="187" fontId="55" fillId="0" borderId="1" xfId="12" applyNumberFormat="1" applyFont="1" applyBorder="1" applyAlignment="1">
      <alignment horizontal="center" vertical="center"/>
    </xf>
    <xf numFmtId="186" fontId="57" fillId="79" borderId="1" xfId="11" applyNumberFormat="1" applyFont="1" applyFill="1" applyBorder="1" applyAlignment="1">
      <alignment horizontal="center" vertical="center"/>
    </xf>
    <xf numFmtId="186" fontId="64" fillId="71" borderId="1" xfId="11" applyNumberFormat="1" applyFont="1" applyFill="1" applyBorder="1" applyAlignment="1">
      <alignment horizontal="center" vertical="center"/>
    </xf>
  </cellXfs>
  <cellStyles count="62">
    <cellStyle name="]_x000d__x000a_Zoomed=1_x000d__x000a_Row=0_x000d__x000a_Column=0_x000d__x000a_Height=0_x000d__x000a_Width=0_x000d__x000a_FontName=FoxFont_x000d__x000a_FontStyle=0_x000d__x000a_FontSize=9_x000d__x000a_PrtFontName=FoxPrin" xfId="55" xr:uid="{A8E5C24C-81AA-4DC9-B355-B6B41DECF053}"/>
    <cellStyle name="20% - Accent1" xfId="31" builtinId="30" customBuiltin="1"/>
    <cellStyle name="20% - Accent2" xfId="35" builtinId="34" customBuiltin="1"/>
    <cellStyle name="20% - Accent3" xfId="39" builtinId="38" customBuiltin="1"/>
    <cellStyle name="20% - Accent4" xfId="43" builtinId="42" customBuiltin="1"/>
    <cellStyle name="20% - Accent5" xfId="47" builtinId="46" customBuiltin="1"/>
    <cellStyle name="20% - Accent6" xfId="51" builtinId="50" customBuiltin="1"/>
    <cellStyle name="40% - Accent1" xfId="32" builtinId="31" customBuiltin="1"/>
    <cellStyle name="40% - Accent2" xfId="36" builtinId="35" customBuiltin="1"/>
    <cellStyle name="40% - Accent3" xfId="40" builtinId="39" customBuiltin="1"/>
    <cellStyle name="40% - Accent4" xfId="44" builtinId="43" customBuiltin="1"/>
    <cellStyle name="40% - Accent5" xfId="48" builtinId="47" customBuiltin="1"/>
    <cellStyle name="40% - Accent6" xfId="52" builtinId="51" customBuiltin="1"/>
    <cellStyle name="60% - Accent1" xfId="33" builtinId="32" customBuiltin="1"/>
    <cellStyle name="60% - Accent2" xfId="37" builtinId="36" customBuiltin="1"/>
    <cellStyle name="60% - Accent3" xfId="41" builtinId="40" customBuiltin="1"/>
    <cellStyle name="60% - Accent4" xfId="45" builtinId="44" customBuiltin="1"/>
    <cellStyle name="60% - Accent5" xfId="49" builtinId="48" customBuiltin="1"/>
    <cellStyle name="60% - Accent6" xfId="53" builtinId="52" customBuiltin="1"/>
    <cellStyle name="Accent1" xfId="30" builtinId="29" customBuiltin="1"/>
    <cellStyle name="Accent2" xfId="34" builtinId="33" customBuiltin="1"/>
    <cellStyle name="Accent3" xfId="38" builtinId="37" customBuiltin="1"/>
    <cellStyle name="Accent4" xfId="42" builtinId="41" customBuiltin="1"/>
    <cellStyle name="Accent5" xfId="46" builtinId="45" customBuiltin="1"/>
    <cellStyle name="Accent6" xfId="50" builtinId="49" customBuiltin="1"/>
    <cellStyle name="Bad" xfId="19" builtinId="27" customBuiltin="1"/>
    <cellStyle name="Calculation" xfId="23" builtinId="22" customBuiltin="1"/>
    <cellStyle name="Check Cell" xfId="25" builtinId="23" customBuiltin="1"/>
    <cellStyle name="Comma" xfId="11" builtinId="3"/>
    <cellStyle name="Comma [0] 2" xfId="56" xr:uid="{7E3D1554-882C-4E74-AD65-F5EEA5F56DE0}"/>
    <cellStyle name="Comma 2" xfId="57" xr:uid="{EB1207E6-C802-42F8-873A-004D1A3A019F}"/>
    <cellStyle name="Currency [0] 2" xfId="58" xr:uid="{628B79A9-A562-4C11-A347-32144FE35026}"/>
    <cellStyle name="Currency 2" xfId="59" xr:uid="{CA073554-66AA-454E-A479-8239E40240CE}"/>
    <cellStyle name="DescriptorColumnStyle" xfId="2" xr:uid="{D21AE14A-3C68-4A07-BFE4-1BA728F07293}"/>
    <cellStyle name="Explanatory Text" xfId="28" builtinId="53" customBuiltin="1"/>
    <cellStyle name="Good" xfId="18" builtinId="26" customBuiltin="1"/>
    <cellStyle name="HeaderStyle" xfId="1" xr:uid="{C0401CF0-59E0-4F3B-A7B6-A21B67C7AA68}"/>
    <cellStyle name="Heading 1" xfId="14" builtinId="16" customBuiltin="1"/>
    <cellStyle name="Heading 2" xfId="15" builtinId="17" customBuiltin="1"/>
    <cellStyle name="Heading 3" xfId="16" builtinId="18" customBuiltin="1"/>
    <cellStyle name="Heading 4" xfId="17" builtinId="19" customBuiltin="1"/>
    <cellStyle name="HyphenStyle" xfId="4" xr:uid="{F3B463C1-A58C-4545-8313-9340A37DA603}"/>
    <cellStyle name="Input" xfId="21" builtinId="20" customBuiltin="1"/>
    <cellStyle name="Invisible" xfId="54" xr:uid="{55476073-2F12-4B98-914E-E5C3045CB0D8}"/>
    <cellStyle name="Linked Cell" xfId="24" builtinId="24" customBuiltin="1"/>
    <cellStyle name="NanStyle" xfId="9" xr:uid="{83AC0A30-9BA8-4AA5-9A5E-4353BDBA9BE2}"/>
    <cellStyle name="Neutral" xfId="20" builtinId="28" customBuiltin="1"/>
    <cellStyle name="Normal" xfId="0" builtinId="0"/>
    <cellStyle name="Normal 2" xfId="5" xr:uid="{E215B7DE-705B-4D0F-BD96-8D78EC572026}"/>
    <cellStyle name="Normal 3" xfId="60" xr:uid="{8EB1C69B-4031-4DC8-8780-FD52095311D7}"/>
    <cellStyle name="Note" xfId="27" builtinId="10" customBuiltin="1"/>
    <cellStyle name="NumberForecastStyle" xfId="8" xr:uid="{21158DC2-306F-4FCA-9CAD-A102FB3DC5D8}"/>
    <cellStyle name="NumberStyle" xfId="3" xr:uid="{FA8DEAF1-7DB1-41F0-A637-46AC6A6AE2B7}"/>
    <cellStyle name="NumberStyle 2" xfId="6" xr:uid="{9AC6C4B5-6568-4B44-893D-7C1FCBFECD97}"/>
    <cellStyle name="Output" xfId="22" builtinId="21" customBuiltin="1"/>
    <cellStyle name="Percent" xfId="12" builtinId="5"/>
    <cellStyle name="Percent 2" xfId="61" xr:uid="{FB769375-6A78-4700-BAF4-29124D3D6124}"/>
    <cellStyle name="RankingStyle" xfId="7" xr:uid="{848776A6-3213-4F69-9D26-7F60DC28EA93}"/>
    <cellStyle name="SolidBackgroundStyle" xfId="10" xr:uid="{491AE19E-D661-46CB-A911-6F109FCEF9A3}"/>
    <cellStyle name="Title" xfId="13" builtinId="15" customBuiltin="1"/>
    <cellStyle name="Total" xfId="29" builtinId="25" customBuiltin="1"/>
    <cellStyle name="Warning Text" xfId="2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FCFE!$A$48</c:f>
              <c:strCache>
                <c:ptCount val="1"/>
                <c:pt idx="0">
                  <c:v> COST BREAKDOWN 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FCFE!$B$47:$K$47</c:f>
              <c:strCach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2023F</c:v>
                </c:pt>
                <c:pt idx="6">
                  <c:v>2024F</c:v>
                </c:pt>
                <c:pt idx="7">
                  <c:v>2025F</c:v>
                </c:pt>
                <c:pt idx="8">
                  <c:v>2026F</c:v>
                </c:pt>
                <c:pt idx="9">
                  <c:v>2027F</c:v>
                </c:pt>
              </c:strCache>
            </c:strRef>
          </c:cat>
          <c:val>
            <c:numRef>
              <c:f>FCFE!$B$48:$K$48</c:f>
              <c:numCache>
                <c:formatCode>_(* #,##0.00_);_(* \(#,##0.00\);_(* "-"??_);_(@_)</c:formatCode>
                <c:ptCount val="10"/>
                <c:pt idx="0">
                  <c:v>42378.753979909998</c:v>
                </c:pt>
                <c:pt idx="1">
                  <c:v>45758.074290750003</c:v>
                </c:pt>
                <c:pt idx="2">
                  <c:v>34956.943557933002</c:v>
                </c:pt>
                <c:pt idx="3">
                  <c:v>50241.584443779007</c:v>
                </c:pt>
                <c:pt idx="4">
                  <c:v>51354.195901306994</c:v>
                </c:pt>
                <c:pt idx="5">
                  <c:v>49067.986032907793</c:v>
                </c:pt>
                <c:pt idx="6">
                  <c:v>49745.939876931443</c:v>
                </c:pt>
                <c:pt idx="7">
                  <c:v>50665.151857869918</c:v>
                </c:pt>
                <c:pt idx="8">
                  <c:v>51284.803720800359</c:v>
                </c:pt>
                <c:pt idx="9">
                  <c:v>51937.319563267723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E-4CA4-939C-A59039668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3745711"/>
        <c:axId val="1601731487"/>
      </c:barChart>
      <c:catAx>
        <c:axId val="122374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731487"/>
        <c:crosses val="autoZero"/>
        <c:auto val="1"/>
        <c:lblAlgn val="ctr"/>
        <c:lblOffset val="100"/>
        <c:noMultiLvlLbl val="0"/>
      </c:catAx>
      <c:valAx>
        <c:axId val="1601731487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4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FCFE!$A$89</c:f>
              <c:strCache>
                <c:ptCount val="1"/>
                <c:pt idx="0">
                  <c:v> NET INCOME 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FCFE!$B$88:$K$88</c:f>
              <c:strCach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2023F</c:v>
                </c:pt>
                <c:pt idx="6">
                  <c:v>2024F</c:v>
                </c:pt>
                <c:pt idx="7">
                  <c:v>2025F</c:v>
                </c:pt>
                <c:pt idx="8">
                  <c:v>2026F</c:v>
                </c:pt>
                <c:pt idx="9">
                  <c:v>2027F</c:v>
                </c:pt>
              </c:strCache>
            </c:strRef>
          </c:cat>
          <c:val>
            <c:numRef>
              <c:f>FCFE!$B$89:$K$89</c:f>
              <c:numCache>
                <c:formatCode>_(* #,##0.00_);_(* \(#,##0.00\);_(* "-"??_);_(@_)</c:formatCode>
                <c:ptCount val="10"/>
                <c:pt idx="0">
                  <c:v>10183.196020089999</c:v>
                </c:pt>
                <c:pt idx="1">
                  <c:v>10560.048709249997</c:v>
                </c:pt>
                <c:pt idx="2">
                  <c:v>24679.342442066998</c:v>
                </c:pt>
                <c:pt idx="3">
                  <c:v>10677.580556220993</c:v>
                </c:pt>
                <c:pt idx="4">
                  <c:v>8602.0510986930094</c:v>
                </c:pt>
                <c:pt idx="5">
                  <c:v>11460.362365186556</c:v>
                </c:pt>
                <c:pt idx="6">
                  <c:v>11477.489149209847</c:v>
                </c:pt>
                <c:pt idx="7">
                  <c:v>11338.243432924224</c:v>
                </c:pt>
                <c:pt idx="8">
                  <c:v>11584.563712509269</c:v>
                </c:pt>
                <c:pt idx="9">
                  <c:v>11885.685452146543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2F8-AD44-81B9CD1C3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39837935"/>
        <c:axId val="464353392"/>
      </c:barChart>
      <c:catAx>
        <c:axId val="153983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3392"/>
        <c:crosses val="autoZero"/>
        <c:auto val="1"/>
        <c:lblAlgn val="ctr"/>
        <c:lblOffset val="100"/>
        <c:noMultiLvlLbl val="0"/>
      </c:catAx>
      <c:valAx>
        <c:axId val="464353392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8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43890790989006E-2"/>
          <c:y val="1.9382444579652183E-2"/>
          <c:w val="0.90192599281581209"/>
          <c:h val="0.764226815398075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'revenue breakdown'!$T$4</c:f>
              <c:strCache>
                <c:ptCount val="1"/>
                <c:pt idx="0">
                  <c:v>Baby Food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breakdown'!$V$4:$Y$4</c:f>
              <c:numCache>
                <c:formatCode>##,#00</c:formatCode>
                <c:ptCount val="4"/>
                <c:pt idx="0">
                  <c:v>6282.73</c:v>
                </c:pt>
                <c:pt idx="1">
                  <c:v>6582.5418999999993</c:v>
                </c:pt>
                <c:pt idx="2">
                  <c:v>6853.1112000000012</c:v>
                </c:pt>
                <c:pt idx="3">
                  <c:v>7271.4431999999997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6-447B-9791-902A9C28BCED}"/>
            </c:ext>
          </c:extLst>
        </c:ser>
        <c:ser>
          <c:idx val="1"/>
          <c:order val="1"/>
          <c:tx>
            <c:strRef>
              <c:f>'revenue breakdown'!$T$5</c:f>
              <c:strCache>
                <c:ptCount val="1"/>
                <c:pt idx="0">
                  <c:v>Drinking Milk Products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breakdown'!$V$5:$Y$5</c:f>
              <c:numCache>
                <c:formatCode>##,#00</c:formatCode>
                <c:ptCount val="4"/>
                <c:pt idx="0">
                  <c:v>24016.704000000005</c:v>
                </c:pt>
                <c:pt idx="1">
                  <c:v>26157.1548</c:v>
                </c:pt>
                <c:pt idx="2">
                  <c:v>27401.003399999998</c:v>
                </c:pt>
                <c:pt idx="3">
                  <c:v>27325.682800000002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06-447B-9791-902A9C28BCED}"/>
            </c:ext>
          </c:extLst>
        </c:ser>
        <c:ser>
          <c:idx val="2"/>
          <c:order val="2"/>
          <c:tx>
            <c:strRef>
              <c:f>'revenue breakdown'!$T$6</c:f>
              <c:strCache>
                <c:ptCount val="1"/>
                <c:pt idx="0">
                  <c:v>Yoghurt and Sour Milk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breakdown'!$V$6:$Y$6</c:f>
              <c:numCache>
                <c:formatCode>##,#00</c:formatCode>
                <c:ptCount val="4"/>
                <c:pt idx="0">
                  <c:v>11235.972</c:v>
                </c:pt>
                <c:pt idx="1">
                  <c:v>12499.762799999999</c:v>
                </c:pt>
                <c:pt idx="2">
                  <c:v>13519.2</c:v>
                </c:pt>
                <c:pt idx="3">
                  <c:v>14228.146799999999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06-447B-9791-902A9C28BCED}"/>
            </c:ext>
          </c:extLst>
        </c:ser>
        <c:ser>
          <c:idx val="3"/>
          <c:order val="3"/>
          <c:tx>
            <c:strRef>
              <c:f>'revenue breakdown'!$T$7</c:f>
              <c:strCache>
                <c:ptCount val="1"/>
                <c:pt idx="0">
                  <c:v>Condensed milk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breakdown'!$V$7:$Y$7</c:f>
              <c:numCache>
                <c:formatCode>##,#00</c:formatCode>
                <c:ptCount val="4"/>
                <c:pt idx="0">
                  <c:v>6533.944199999999</c:v>
                </c:pt>
                <c:pt idx="1">
                  <c:v>7147.5887999999986</c:v>
                </c:pt>
                <c:pt idx="2">
                  <c:v>7398.7779999999993</c:v>
                </c:pt>
                <c:pt idx="3">
                  <c:v>7802.7528000000002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06-447B-9791-902A9C28BCED}"/>
            </c:ext>
          </c:extLst>
        </c:ser>
        <c:ser>
          <c:idx val="4"/>
          <c:order val="4"/>
          <c:tx>
            <c:strRef>
              <c:f>'revenue breakdown'!$T$8</c:f>
              <c:strCache>
                <c:ptCount val="1"/>
                <c:pt idx="0">
                  <c:v>Plant-based and other dairy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breakdown'!$V$8:$Y$8</c:f>
              <c:numCache>
                <c:formatCode>##,#00</c:formatCode>
                <c:ptCount val="4"/>
                <c:pt idx="0">
                  <c:v>1549.1143999999997</c:v>
                </c:pt>
                <c:pt idx="1">
                  <c:v>1638.1554000000001</c:v>
                </c:pt>
                <c:pt idx="2">
                  <c:v>1673.2950000000001</c:v>
                </c:pt>
                <c:pt idx="3">
                  <c:v>1714.5980000000002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06-447B-9791-902A9C28BC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662800"/>
        <c:axId val="51866388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v>CAGR</c:v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breakdown'!$U$13:$U$14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3.9189550209582702E-2</c:v>
                      </c:pt>
                      <c:pt idx="1">
                        <c:v>7.8379100419165397E-3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F706-447B-9791-902A9C28BCED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7"/>
          <c:order val="7"/>
          <c:tx>
            <c:strRef>
              <c:f>'revenue breakdown'!$T$13</c:f>
              <c:strCache>
                <c:ptCount val="1"/>
                <c:pt idx="0">
                  <c:v>CAGR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0.38948807637263161"/>
                  <c:y val="1.375758303482909E-2"/>
                </c:manualLayout>
              </c:layout>
              <c:tx>
                <c:rich>
                  <a:bodyPr rot="-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037C86C-57B9-459E-BFE3-54E6EB7408F2}" type="SERIESNAME">
                      <a:rPr lang="en-US"/>
                      <a:pPr>
                        <a:defRPr/>
                      </a:pPr>
                      <a:t>[SERIES NAME]</a:t>
                    </a:fld>
                    <a:r>
                      <a:rPr lang="en-US" baseline="0"/>
                      <a:t>: 2.17%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706-447B-9791-902A9C28BC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'revenue breakdown'!$X$13:$X$14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'revenue breakdown'!$Y$13:$Y$14</c:f>
              <c:numCache>
                <c:formatCode>##,#00</c:formatCode>
                <c:ptCount val="2"/>
                <c:pt idx="0">
                  <c:v>52376.53244000001</c:v>
                </c:pt>
                <c:pt idx="1">
                  <c:v>67094.017140000011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706-447B-9791-902A9C28BCED}"/>
            </c:ext>
          </c:extLst>
        </c:ser>
        <c:ser>
          <c:idx val="8"/>
          <c:order val="8"/>
          <c:tx>
            <c:strRef>
              <c:f>'revenue breakdown'!$V$12</c:f>
              <c:strCache>
                <c:ptCount val="1"/>
                <c:pt idx="0">
                  <c:v>CAGR: 5.92%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breakdown'!$Z$14</c:f>
              <c:numCache>
                <c:formatCode>##,#00</c:formatCode>
                <c:ptCount val="1"/>
                <c:pt idx="0">
                  <c:v>2.5</c:v>
                </c:pt>
              </c:numCache>
            </c:numRef>
          </c:xVal>
          <c:yVal>
            <c:numRef>
              <c:f>'revenue breakdown'!$AA$13</c:f>
              <c:numCache>
                <c:formatCode>##,#00</c:formatCode>
                <c:ptCount val="1"/>
                <c:pt idx="0">
                  <c:v>59735.27479000001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06-447B-9791-902A9C28B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2800"/>
        <c:axId val="51866388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'revenue breakdown'!$T$9</c15:sqref>
                        </c15:formulaRef>
                      </c:ext>
                    </c:extLst>
                    <c:strCache>
                      <c:ptCount val="1"/>
                      <c:pt idx="0">
                        <c:v>Force zero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'revenue breakdown'!$U$9:$Z$9</c15:sqref>
                        </c15:formulaRef>
                      </c:ext>
                    </c:extLst>
                    <c:numCache>
                      <c:formatCode>##,#00</c:formatCode>
                      <c:ptCount val="6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F706-447B-9791-902A9C28BCED}"/>
                  </c:ext>
                </c:extLst>
              </c15:ser>
            </c15:filteredScatterSeries>
          </c:ext>
        </c:extLst>
      </c:scatterChart>
      <c:catAx>
        <c:axId val="518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3880"/>
        <c:crosses val="autoZero"/>
        <c:auto val="1"/>
        <c:lblAlgn val="ctr"/>
        <c:lblOffset val="100"/>
        <c:noMultiLvlLbl val="0"/>
      </c:catAx>
      <c:valAx>
        <c:axId val="518663880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7164348606020747"/>
          <c:w val="1"/>
          <c:h val="0.12566815992805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52188181513166E-2"/>
          <c:y val="7.407407407407407E-2"/>
          <c:w val="0.8705620823547503"/>
          <c:h val="0.858850247885680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FCFE!$AB$28</c:f>
              <c:strCache>
                <c:ptCount val="1"/>
                <c:pt idx="0">
                  <c:v>Drinking milk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FCFE!$AC$27:$AL$27</c:f>
              <c:strCache>
                <c:ptCount val="10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2023F</c:v>
                </c:pt>
                <c:pt idx="6">
                  <c:v>2024F</c:v>
                </c:pt>
                <c:pt idx="7">
                  <c:v>2025F</c:v>
                </c:pt>
                <c:pt idx="8">
                  <c:v>2026F</c:v>
                </c:pt>
                <c:pt idx="9">
                  <c:v>2027F</c:v>
                </c:pt>
              </c:strCache>
            </c:strRef>
          </c:cat>
          <c:val>
            <c:numRef>
              <c:f>FCFE!$AC$28:$AL$28</c:f>
              <c:numCache>
                <c:formatCode>_(* #,##0_);_(* \(#,##0\);_(* "-"??_);_(@_)</c:formatCode>
                <c:ptCount val="10"/>
                <c:pt idx="0">
                  <c:v>22610.49491097089</c:v>
                </c:pt>
                <c:pt idx="1">
                  <c:v>25078.761399893556</c:v>
                </c:pt>
                <c:pt idx="2">
                  <c:v>26708.310166984938</c:v>
                </c:pt>
                <c:pt idx="3">
                  <c:v>27015.499627043584</c:v>
                </c:pt>
                <c:pt idx="4">
                  <c:v>25975.339980175617</c:v>
                </c:pt>
                <c:pt idx="5">
                  <c:v>26156.937299408415</c:v>
                </c:pt>
                <c:pt idx="6">
                  <c:v>26338.664264853298</c:v>
                </c:pt>
                <c:pt idx="7">
                  <c:v>26520.500206299643</c:v>
                </c:pt>
                <c:pt idx="8">
                  <c:v>26702.424147083308</c:v>
                </c:pt>
                <c:pt idx="9">
                  <c:v>26884.414804548302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BF-4315-8EA7-6B3A5DD33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39572839"/>
        <c:axId val="1039574279"/>
      </c:barChart>
      <c:catAx>
        <c:axId val="1039572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74279"/>
        <c:crosses val="autoZero"/>
        <c:auto val="1"/>
        <c:lblAlgn val="ctr"/>
        <c:lblOffset val="100"/>
        <c:noMultiLvlLbl val="0"/>
      </c:catAx>
      <c:valAx>
        <c:axId val="1039574279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572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FCFE!$AD$33</c:f>
              <c:strCache>
                <c:ptCount val="1"/>
                <c:pt idx="0">
                  <c:v>Sua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FCFE!$AE$32:$AJ$32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2023F</c:v>
                </c:pt>
              </c:strCache>
            </c:strRef>
          </c:cat>
          <c:val>
            <c:numRef>
              <c:f>FCFE!$AE$33:$AJ$33</c:f>
              <c:numCache>
                <c:formatCode>General</c:formatCode>
                <c:ptCount val="6"/>
                <c:pt idx="0">
                  <c:v>31</c:v>
                </c:pt>
                <c:pt idx="1">
                  <c:v>32</c:v>
                </c:pt>
                <c:pt idx="2">
                  <c:v>34</c:v>
                </c:pt>
                <c:pt idx="3">
                  <c:v>37</c:v>
                </c:pt>
                <c:pt idx="4">
                  <c:v>39</c:v>
                </c:pt>
                <c:pt idx="5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6-4CBF-8804-04B86343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7222167"/>
        <c:axId val="247211727"/>
      </c:barChart>
      <c:catAx>
        <c:axId val="247222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11727"/>
        <c:crosses val="autoZero"/>
        <c:auto val="1"/>
        <c:lblAlgn val="ctr"/>
        <c:lblOffset val="100"/>
        <c:noMultiLvlLbl val="0"/>
      </c:catAx>
      <c:valAx>
        <c:axId val="247211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22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70D-4ACA-BAD0-B60E0201A9F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70D-4ACA-BAD0-B60E0201A9F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0D-4ACA-BAD0-B60E0201A9F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70D-4ACA-BAD0-B60E0201A9F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70D-4ACA-BAD0-B60E0201A9FC}"/>
              </c:ext>
            </c:extLst>
          </c:dPt>
          <c:dLbls>
            <c:dLbl>
              <c:idx val="0"/>
              <c:layout>
                <c:manualLayout>
                  <c:x val="-0.13069549118836526"/>
                  <c:y val="0.1678267472743546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70D-4ACA-BAD0-B60E0201A9FC}"/>
                </c:ext>
              </c:extLst>
            </c:dLbl>
            <c:dLbl>
              <c:idx val="1"/>
              <c:layout>
                <c:manualLayout>
                  <c:x val="-7.5482763054904506E-2"/>
                  <c:y val="-0.169164624572627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0D-4ACA-BAD0-B60E0201A9FC}"/>
                </c:ext>
              </c:extLst>
            </c:dLbl>
            <c:dLbl>
              <c:idx val="2"/>
              <c:layout>
                <c:manualLayout>
                  <c:x val="0.18948470442517193"/>
                  <c:y val="4.24676077418597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0D-4ACA-BAD0-B60E0201A9FC}"/>
                </c:ext>
              </c:extLst>
            </c:dLbl>
            <c:dLbl>
              <c:idx val="3"/>
              <c:layout>
                <c:manualLayout>
                  <c:x val="-1.0631094302356481E-2"/>
                  <c:y val="9.243715975289397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0D-4ACA-BAD0-B60E0201A9FC}"/>
                </c:ext>
              </c:extLst>
            </c:dLbl>
            <c:dLbl>
              <c:idx val="4"/>
              <c:layout>
                <c:manualLayout>
                  <c:x val="7.6878437843181879E-2"/>
                  <c:y val="0.146360915053779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0D-4ACA-BAD0-B60E0201A9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breakdown'!$L$4:$L$8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breakdown'!$R$4:$R$8</c:f>
              <c:numCache>
                <c:formatCode>##,#00</c:formatCode>
                <c:ptCount val="5"/>
                <c:pt idx="0">
                  <c:v>23.2</c:v>
                </c:pt>
                <c:pt idx="1">
                  <c:v>44.8</c:v>
                </c:pt>
                <c:pt idx="2">
                  <c:v>62.5</c:v>
                </c:pt>
                <c:pt idx="3">
                  <c:v>82.8</c:v>
                </c:pt>
                <c:pt idx="4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D-4ACA-BAD0-B60E0201A9FC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9DE-4207-9650-CACD9F8FEC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A-97EF-46ED-A3BC-3896078DC4B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'revenue breakdown'!$AD$3</c:f>
              <c:strCache>
                <c:ptCount val="1"/>
                <c:pt idx="0">
                  <c:v>Rvenue by sector of VNM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AA-4384-A70C-D0867FF4A8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6B-4E16-AE99-F556B370EF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6B-4E16-AE99-F556B370EF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AA-4384-A70C-D0867FF4A8F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0AA-4384-A70C-D0867FF4A8F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C4A-4D8D-BA5C-B88B0C910CBE}"/>
              </c:ext>
            </c:extLst>
          </c:dPt>
          <c:dLbls>
            <c:dLbl>
              <c:idx val="0"/>
              <c:layout>
                <c:manualLayout>
                  <c:x val="-8.4008311461067367E-2"/>
                  <c:y val="0.117732939632545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AA-4384-A70C-D0867FF4A8F5}"/>
                </c:ext>
              </c:extLst>
            </c:dLbl>
            <c:dLbl>
              <c:idx val="3"/>
              <c:layout>
                <c:manualLayout>
                  <c:x val="0.11814587642884353"/>
                  <c:y val="0.215097354537802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AA-4384-A70C-D0867FF4A8F5}"/>
                </c:ext>
              </c:extLst>
            </c:dLbl>
            <c:dLbl>
              <c:idx val="4"/>
              <c:layout>
                <c:manualLayout>
                  <c:x val="-0.22114265274360614"/>
                  <c:y val="1.302869708532229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AA-4384-A70C-D0867FF4A8F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breakdown'!$AC$4:$AC$9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breakdown'!$AD$4:$AD$9</c:f>
              <c:numCache>
                <c:formatCode>0.00%</c:formatCode>
                <c:ptCount val="6"/>
                <c:pt idx="0">
                  <c:v>0.12463346266107922</c:v>
                </c:pt>
                <c:pt idx="1">
                  <c:v>0.46836568384970606</c:v>
                </c:pt>
                <c:pt idx="2">
                  <c:v>0.24387224848763911</c:v>
                </c:pt>
                <c:pt idx="3">
                  <c:v>0.13374017688158951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A-4384-A70C-D0867FF4A8F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76400137472235E-2"/>
          <c:y val="5.4948487145380122E-2"/>
          <c:w val="0.9072066597412346"/>
          <c:h val="0.8931484482595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breakdown'!$V$15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breakdown'!$V$16:$V$20</c:f>
              <c:numCache>
                <c:formatCode>0.00%</c:formatCode>
                <c:ptCount val="5"/>
                <c:pt idx="0">
                  <c:v>0.12662080640036572</c:v>
                </c:pt>
                <c:pt idx="1">
                  <c:v>0.48402755292028937</c:v>
                </c:pt>
                <c:pt idx="2">
                  <c:v>0.22644739394052107</c:v>
                </c:pt>
                <c:pt idx="3">
                  <c:v>0.13168372404655179</c:v>
                </c:pt>
                <c:pt idx="4">
                  <c:v>3.1220522692272098E-2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C-43CE-9413-51339EB473D9}"/>
            </c:ext>
          </c:extLst>
        </c:ser>
        <c:ser>
          <c:idx val="1"/>
          <c:order val="1"/>
          <c:tx>
            <c:strRef>
              <c:f>'revenue breakdown'!$W$15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breakdown'!$W$16:$W$20</c:f>
              <c:numCache>
                <c:formatCode>0.00%</c:formatCode>
                <c:ptCount val="5"/>
                <c:pt idx="0">
                  <c:v>0.12184205609945714</c:v>
                </c:pt>
                <c:pt idx="1">
                  <c:v>0.48416577835133645</c:v>
                </c:pt>
                <c:pt idx="2">
                  <c:v>0.23136910078878609</c:v>
                </c:pt>
                <c:pt idx="3">
                  <c:v>0.13230100602101014</c:v>
                </c:pt>
                <c:pt idx="4">
                  <c:v>3.0322058739410178E-2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C-43CE-9413-51339EB473D9}"/>
            </c:ext>
          </c:extLst>
        </c:ser>
        <c:ser>
          <c:idx val="2"/>
          <c:order val="2"/>
          <c:tx>
            <c:strRef>
              <c:f>'revenue breakdown'!$X$15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breakdown'!$X$16:$X$20</c:f>
              <c:numCache>
                <c:formatCode>0.00%</c:formatCode>
                <c:ptCount val="5"/>
                <c:pt idx="0">
                  <c:v>0.12055703178985804</c:v>
                </c:pt>
                <c:pt idx="1">
                  <c:v>0.48202685489297287</c:v>
                </c:pt>
                <c:pt idx="2">
                  <c:v>0.23782404467235971</c:v>
                </c:pt>
                <c:pt idx="3">
                  <c:v>0.13015617119303449</c:v>
                </c:pt>
                <c:pt idx="4">
                  <c:v>2.9435897451774967E-2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CC-43CE-9413-51339EB473D9}"/>
            </c:ext>
          </c:extLst>
        </c:ser>
        <c:ser>
          <c:idx val="3"/>
          <c:order val="3"/>
          <c:tx>
            <c:strRef>
              <c:f>'revenue breakdown'!$Y$15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breakdown'!$Y$16:$Y$20</c:f>
              <c:numCache>
                <c:formatCode>0.00%</c:formatCode>
                <c:ptCount val="5"/>
                <c:pt idx="0">
                  <c:v>0.12463346266107922</c:v>
                </c:pt>
                <c:pt idx="1">
                  <c:v>0.46836568384970606</c:v>
                </c:pt>
                <c:pt idx="2">
                  <c:v>0.24387224848763911</c:v>
                </c:pt>
                <c:pt idx="3">
                  <c:v>0.13374017688158951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3-492B-9862-ACDC7C6BD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9813632"/>
        <c:axId val="729812552"/>
      </c:barChart>
      <c:catAx>
        <c:axId val="7298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9812552"/>
        <c:crosses val="autoZero"/>
        <c:auto val="1"/>
        <c:lblAlgn val="ctr"/>
        <c:lblOffset val="100"/>
        <c:noMultiLvlLbl val="0"/>
      </c:catAx>
      <c:valAx>
        <c:axId val="729812552"/>
        <c:scaling>
          <c:orientation val="minMax"/>
          <c:max val="0.5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98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4007184187906E-2"/>
          <c:y val="3.0679407031039666E-2"/>
          <c:w val="0.90192599281581209"/>
          <c:h val="0.76422681539807524"/>
        </c:manualLayout>
      </c:layout>
      <c:barChart>
        <c:barDir val="col"/>
        <c:grouping val="stacked"/>
        <c:varyColors val="0"/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662800"/>
        <c:axId val="518663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'revenue breakdown'!$T$4</c15:sqref>
                        </c15:formulaRef>
                      </c:ext>
                    </c:extLst>
                    <c:strCache>
                      <c:ptCount val="1"/>
                      <c:pt idx="0">
                        <c:v>Baby Food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breakdown'!$V$4:$Y$4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6282.73</c:v>
                      </c:pt>
                      <c:pt idx="1">
                        <c:v>6582.5418999999993</c:v>
                      </c:pt>
                      <c:pt idx="2">
                        <c:v>6853.1112000000012</c:v>
                      </c:pt>
                      <c:pt idx="3">
                        <c:v>7271.4431999999997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B47-40CB-B0D3-B482945AD03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breakdown'!$T$5</c15:sqref>
                        </c15:formulaRef>
                      </c:ext>
                    </c:extLst>
                    <c:strCache>
                      <c:ptCount val="1"/>
                      <c:pt idx="0">
                        <c:v>Drinking Milk Products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breakdown'!$V$5:$Y$5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24016.704000000005</c:v>
                      </c:pt>
                      <c:pt idx="1">
                        <c:v>26157.1548</c:v>
                      </c:pt>
                      <c:pt idx="2">
                        <c:v>27401.003399999998</c:v>
                      </c:pt>
                      <c:pt idx="3">
                        <c:v>27325.682800000002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47-40CB-B0D3-B482945AD03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breakdown'!$T$6</c15:sqref>
                        </c15:formulaRef>
                      </c:ext>
                    </c:extLst>
                    <c:strCache>
                      <c:ptCount val="1"/>
                      <c:pt idx="0">
                        <c:v>Yoghurt and Sour Milk Products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breakdown'!$V$6:$Y$6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11235.972</c:v>
                      </c:pt>
                      <c:pt idx="1">
                        <c:v>12499.762799999999</c:v>
                      </c:pt>
                      <c:pt idx="2">
                        <c:v>13519.2</c:v>
                      </c:pt>
                      <c:pt idx="3">
                        <c:v>14228.146799999999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B47-40CB-B0D3-B482945AD03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breakdown'!$T$7</c15:sqref>
                        </c15:formulaRef>
                      </c:ext>
                    </c:extLst>
                    <c:strCache>
                      <c:ptCount val="1"/>
                      <c:pt idx="0">
                        <c:v>Condensed milk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breakdown'!$V$7:$Y$7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6533.944199999999</c:v>
                      </c:pt>
                      <c:pt idx="1">
                        <c:v>7147.5887999999986</c:v>
                      </c:pt>
                      <c:pt idx="2">
                        <c:v>7398.7779999999993</c:v>
                      </c:pt>
                      <c:pt idx="3">
                        <c:v>7802.7528000000002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B47-40CB-B0D3-B482945AD03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breakdown'!$T$8</c15:sqref>
                        </c15:formulaRef>
                      </c:ext>
                    </c:extLst>
                    <c:strCache>
                      <c:ptCount val="1"/>
                      <c:pt idx="0">
                        <c:v>Plant-based and other dairy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breakdown'!$V$8:$Y$8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1549.1143999999997</c:v>
                      </c:pt>
                      <c:pt idx="1">
                        <c:v>1638.1554000000001</c:v>
                      </c:pt>
                      <c:pt idx="2">
                        <c:v>1673.2950000000001</c:v>
                      </c:pt>
                      <c:pt idx="3">
                        <c:v>1714.5980000000002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47-40CB-B0D3-B482945AD034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CAGR</c:v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breakdown'!$U$13:$U$14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3.9189550209582702E-2</c:v>
                      </c:pt>
                      <c:pt idx="1">
                        <c:v>7.8379100419165397E-3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B0C-448F-AAFD-1531DD7D2B58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7"/>
          <c:order val="7"/>
          <c:tx>
            <c:strRef>
              <c:f>'revenue breakdown'!$T$13</c:f>
              <c:strCache>
                <c:ptCount val="1"/>
                <c:pt idx="0">
                  <c:v>CAGR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  <a:tailEnd type="triangle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0.38948807637263161"/>
                  <c:y val="1.375758303482909E-2"/>
                </c:manualLayout>
              </c:layout>
              <c:tx>
                <c:rich>
                  <a:bodyPr rot="-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037C86C-57B9-459E-BFE3-54E6EB7408F2}" type="SERIESNAME">
                      <a:rPr lang="en-US"/>
                      <a:pPr>
                        <a:defRPr/>
                      </a:pPr>
                      <a:t>[SERIES NAME]</a:t>
                    </a:fld>
                    <a:r>
                      <a:rPr lang="en-US" baseline="0"/>
                      <a:t>: 2.17%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CF8-469B-9C38-B1DCC52C9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'revenue breakdown'!$X$13:$X$14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'revenue breakdown'!$Y$13:$Y$14</c:f>
              <c:numCache>
                <c:formatCode>##,#00</c:formatCode>
                <c:ptCount val="2"/>
                <c:pt idx="0">
                  <c:v>52376.53244000001</c:v>
                </c:pt>
                <c:pt idx="1">
                  <c:v>67094.017140000011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F8-469B-9C38-B1DCC52C954D}"/>
            </c:ext>
          </c:extLst>
        </c:ser>
        <c:ser>
          <c:idx val="8"/>
          <c:order val="8"/>
          <c:tx>
            <c:strRef>
              <c:f>'revenue breakdown'!$V$12</c:f>
              <c:strCache>
                <c:ptCount val="1"/>
                <c:pt idx="0">
                  <c:v>CAGR: 5.92%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breakdown'!$Z$14</c:f>
              <c:numCache>
                <c:formatCode>##,#00</c:formatCode>
                <c:ptCount val="1"/>
                <c:pt idx="0">
                  <c:v>2.5</c:v>
                </c:pt>
              </c:numCache>
            </c:numRef>
          </c:xVal>
          <c:yVal>
            <c:numRef>
              <c:f>'revenue breakdown'!$AA$13</c:f>
              <c:numCache>
                <c:formatCode>##,#00</c:formatCode>
                <c:ptCount val="1"/>
                <c:pt idx="0">
                  <c:v>59735.27479000001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F8-469B-9C38-B1DCC52C954D}"/>
            </c:ext>
          </c:extLst>
        </c:ser>
        <c:ser>
          <c:idx val="9"/>
          <c:order val="9"/>
          <c:tx>
            <c:strRef>
              <c:f>'Condensed milk'!$L$74</c:f>
              <c:strCache>
                <c:ptCount val="1"/>
                <c:pt idx="0">
                  <c:v>Vietnam Dairy Products JSC (Vinamilk)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breakdown'!$U$11:$Y$11</c:f>
              <c:numCache>
                <c:formatCode>##,#00</c:formatCode>
                <c:ptCount val="5"/>
                <c:pt idx="0">
                  <c:v>43625.138900000005</c:v>
                </c:pt>
                <c:pt idx="1">
                  <c:v>49618.464599999999</c:v>
                </c:pt>
                <c:pt idx="2">
                  <c:v>54025.203699999998</c:v>
                </c:pt>
                <c:pt idx="3">
                  <c:v>56845.387599999995</c:v>
                </c:pt>
                <c:pt idx="4">
                  <c:v>58342.623600000006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C-3C51-4BE9-86BB-154DA5F73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2800"/>
        <c:axId val="51866388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'revenue breakdown'!$T$9</c15:sqref>
                        </c15:formulaRef>
                      </c:ext>
                    </c:extLst>
                    <c:strCache>
                      <c:ptCount val="1"/>
                      <c:pt idx="0">
                        <c:v>Force zero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'revenue breakdown'!$U$9:$Z$9</c15:sqref>
                        </c15:formulaRef>
                      </c:ext>
                    </c:extLst>
                    <c:numCache>
                      <c:formatCode>##,#00</c:formatCode>
                      <c:ptCount val="6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CF8-469B-9C38-B1DCC52C954D}"/>
                  </c:ext>
                </c:extLst>
              </c15:ser>
            </c15:filteredScatterSeries>
          </c:ext>
        </c:extLst>
      </c:scatterChart>
      <c:catAx>
        <c:axId val="518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3880"/>
        <c:crosses val="autoZero"/>
        <c:auto val="1"/>
        <c:lblAlgn val="ctr"/>
        <c:lblOffset val="100"/>
        <c:noMultiLvlLbl val="0"/>
      </c:catAx>
      <c:valAx>
        <c:axId val="518663880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"/>
          <c:y val="0.87164348606020747"/>
          <c:w val="0.31361753474076015"/>
          <c:h val="8.8652986964313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49965992520103"/>
          <c:y val="2.0574202398135556E-2"/>
          <c:w val="0.88350034007479894"/>
          <c:h val="0.73078443512092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'revenue breakdown'!$T$16</c:f>
              <c:strCache>
                <c:ptCount val="1"/>
                <c:pt idx="0">
                  <c:v>Baby 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breakdown'!$U$16:$Y$16</c:f>
              <c:numCache>
                <c:formatCode>0.00%</c:formatCode>
                <c:ptCount val="5"/>
                <c:pt idx="0">
                  <c:v>0.13823570427646248</c:v>
                </c:pt>
                <c:pt idx="1">
                  <c:v>0.12662080640036572</c:v>
                </c:pt>
                <c:pt idx="2">
                  <c:v>0.12184205609945714</c:v>
                </c:pt>
                <c:pt idx="3">
                  <c:v>0.12055703178985804</c:v>
                </c:pt>
                <c:pt idx="4">
                  <c:v>0.12463346266107922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1-464E-944D-ED5706C5A42F}"/>
            </c:ext>
          </c:extLst>
        </c:ser>
        <c:ser>
          <c:idx val="1"/>
          <c:order val="1"/>
          <c:tx>
            <c:strRef>
              <c:f>'revenue breakdown'!$T$17</c:f>
              <c:strCache>
                <c:ptCount val="1"/>
                <c:pt idx="0">
                  <c:v>Drinking Milk Products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breakdown'!$U$17:$Y$17</c:f>
              <c:numCache>
                <c:formatCode>0.00%</c:formatCode>
                <c:ptCount val="5"/>
                <c:pt idx="0">
                  <c:v>0.46504702131733494</c:v>
                </c:pt>
                <c:pt idx="1">
                  <c:v>0.48402755292028937</c:v>
                </c:pt>
                <c:pt idx="2">
                  <c:v>0.48416577835133645</c:v>
                </c:pt>
                <c:pt idx="3">
                  <c:v>0.48202685489297287</c:v>
                </c:pt>
                <c:pt idx="4">
                  <c:v>0.46836568384970606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1-464E-944D-ED5706C5A42F}"/>
            </c:ext>
          </c:extLst>
        </c:ser>
        <c:ser>
          <c:idx val="2"/>
          <c:order val="2"/>
          <c:tx>
            <c:strRef>
              <c:f>'revenue breakdown'!$T$18</c:f>
              <c:strCache>
                <c:ptCount val="1"/>
                <c:pt idx="0">
                  <c:v>Yoghurt and Sour Milk Products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breakdown'!$U$18:$Y$18</c:f>
              <c:numCache>
                <c:formatCode>0.00%</c:formatCode>
                <c:ptCount val="5"/>
                <c:pt idx="0">
                  <c:v>0.22694624818718914</c:v>
                </c:pt>
                <c:pt idx="1">
                  <c:v>0.22644739394052107</c:v>
                </c:pt>
                <c:pt idx="2">
                  <c:v>0.23136910078878609</c:v>
                </c:pt>
                <c:pt idx="3">
                  <c:v>0.23782404467235971</c:v>
                </c:pt>
                <c:pt idx="4">
                  <c:v>0.24387224848763911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B1-464E-944D-ED5706C5A42F}"/>
            </c:ext>
          </c:extLst>
        </c:ser>
        <c:ser>
          <c:idx val="3"/>
          <c:order val="3"/>
          <c:tx>
            <c:strRef>
              <c:f>'revenue breakdown'!$T$19</c:f>
              <c:strCache>
                <c:ptCount val="1"/>
                <c:pt idx="0">
                  <c:v>Condensed milk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breakdown'!$U$19:$Y$19</c:f>
              <c:numCache>
                <c:formatCode>0.00%</c:formatCode>
                <c:ptCount val="5"/>
                <c:pt idx="0">
                  <c:v>0.13661187907415462</c:v>
                </c:pt>
                <c:pt idx="1">
                  <c:v>0.13168372404655179</c:v>
                </c:pt>
                <c:pt idx="2">
                  <c:v>0.13230100602101014</c:v>
                </c:pt>
                <c:pt idx="3">
                  <c:v>0.13015617119303449</c:v>
                </c:pt>
                <c:pt idx="4">
                  <c:v>0.13374017688158951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B1-464E-944D-ED5706C5A42F}"/>
            </c:ext>
          </c:extLst>
        </c:ser>
        <c:ser>
          <c:idx val="4"/>
          <c:order val="4"/>
          <c:tx>
            <c:strRef>
              <c:f>'revenue breakdown'!$T$20</c:f>
              <c:strCache>
                <c:ptCount val="1"/>
                <c:pt idx="0">
                  <c:v>Plant-based and other dairy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breakdown'!$U$20:$Y$20</c:f>
              <c:numCache>
                <c:formatCode>0.00%</c:formatCode>
                <c:ptCount val="5"/>
                <c:pt idx="0">
                  <c:v>3.3159147144858715E-2</c:v>
                </c:pt>
                <c:pt idx="1">
                  <c:v>3.1220522692272098E-2</c:v>
                </c:pt>
                <c:pt idx="2">
                  <c:v>3.0322058739410178E-2</c:v>
                </c:pt>
                <c:pt idx="3">
                  <c:v>2.9435897451774967E-2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B1-464E-944D-ED5706C5A4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5155840"/>
        <c:axId val="685157640"/>
      </c:barChart>
      <c:catAx>
        <c:axId val="6851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157640"/>
        <c:crosses val="autoZero"/>
        <c:auto val="1"/>
        <c:lblAlgn val="ctr"/>
        <c:lblOffset val="100"/>
        <c:noMultiLvlLbl val="0"/>
      </c:catAx>
      <c:valAx>
        <c:axId val="685157640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15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875431213096639E-2"/>
          <c:y val="0.83686768638685616"/>
          <c:w val="0.98135183666618298"/>
          <c:h val="0.16313231361314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breakdown'!$H$49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breakdown'!$H$50:$H$51</c:f>
              <c:numCache>
                <c:formatCode>0%;[Red]\(0%\)</c:formatCode>
                <c:ptCount val="2"/>
                <c:pt idx="0">
                  <c:v>0.85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0-4BCB-992A-32CFC397F652}"/>
            </c:ext>
          </c:extLst>
        </c:ser>
        <c:ser>
          <c:idx val="1"/>
          <c:order val="1"/>
          <c:tx>
            <c:strRef>
              <c:f>'revenue breakdown'!$I$49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breakdown'!$I$50:$I$51</c:f>
              <c:numCache>
                <c:formatCode>0%;[Red]\(0%\)</c:formatCode>
                <c:ptCount val="2"/>
                <c:pt idx="0">
                  <c:v>0.84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0-4BCB-992A-32CFC397F652}"/>
            </c:ext>
          </c:extLst>
        </c:ser>
        <c:ser>
          <c:idx val="2"/>
          <c:order val="2"/>
          <c:tx>
            <c:strRef>
              <c:f>'revenue breakdown'!$J$49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breakdown'!$J$50:$J$51</c:f>
              <c:numCache>
                <c:formatCode>0%;[Red]\(0%\)</c:formatCode>
                <c:ptCount val="2"/>
                <c:pt idx="0">
                  <c:v>0.85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C0-4BCB-992A-32CFC397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69861600"/>
        <c:axId val="969858360"/>
      </c:barChart>
      <c:catAx>
        <c:axId val="9698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58360"/>
        <c:crosses val="autoZero"/>
        <c:auto val="1"/>
        <c:lblAlgn val="ctr"/>
        <c:lblOffset val="100"/>
        <c:noMultiLvlLbl val="0"/>
      </c:catAx>
      <c:valAx>
        <c:axId val="969858360"/>
        <c:scaling>
          <c:orientation val="minMax"/>
        </c:scaling>
        <c:delete val="0"/>
        <c:axPos val="l"/>
        <c:numFmt formatCode="0%;[Red]\(0%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4007184187906E-2"/>
          <c:y val="3.0679407031039666E-2"/>
          <c:w val="0.90192599281581209"/>
          <c:h val="0.764226815398075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'revenue breakdown'!$T$4</c:f>
              <c:strCache>
                <c:ptCount val="1"/>
                <c:pt idx="0">
                  <c:v>Baby Food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breakdown'!$V$4:$Y$4</c:f>
              <c:numCache>
                <c:formatCode>##,#00</c:formatCode>
                <c:ptCount val="4"/>
                <c:pt idx="0">
                  <c:v>6282.73</c:v>
                </c:pt>
                <c:pt idx="1">
                  <c:v>6582.5418999999993</c:v>
                </c:pt>
                <c:pt idx="2">
                  <c:v>6853.1112000000012</c:v>
                </c:pt>
                <c:pt idx="3">
                  <c:v>7271.4431999999997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2-4302-8E46-55A4E096DF86}"/>
            </c:ext>
          </c:extLst>
        </c:ser>
        <c:ser>
          <c:idx val="1"/>
          <c:order val="1"/>
          <c:tx>
            <c:strRef>
              <c:f>'revenue breakdown'!$T$5</c:f>
              <c:strCache>
                <c:ptCount val="1"/>
                <c:pt idx="0">
                  <c:v>Drinking Milk Products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breakdown'!$V$5:$Y$5</c:f>
              <c:numCache>
                <c:formatCode>##,#00</c:formatCode>
                <c:ptCount val="4"/>
                <c:pt idx="0">
                  <c:v>24016.704000000005</c:v>
                </c:pt>
                <c:pt idx="1">
                  <c:v>26157.1548</c:v>
                </c:pt>
                <c:pt idx="2">
                  <c:v>27401.003399999998</c:v>
                </c:pt>
                <c:pt idx="3">
                  <c:v>27325.682800000002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12-4302-8E46-55A4E096DF86}"/>
            </c:ext>
          </c:extLst>
        </c:ser>
        <c:ser>
          <c:idx val="2"/>
          <c:order val="2"/>
          <c:tx>
            <c:strRef>
              <c:f>'revenue breakdown'!$T$6</c:f>
              <c:strCache>
                <c:ptCount val="1"/>
                <c:pt idx="0">
                  <c:v>Yoghurt and Sour Milk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breakdown'!$V$6:$Y$6</c:f>
              <c:numCache>
                <c:formatCode>##,#00</c:formatCode>
                <c:ptCount val="4"/>
                <c:pt idx="0">
                  <c:v>11235.972</c:v>
                </c:pt>
                <c:pt idx="1">
                  <c:v>12499.762799999999</c:v>
                </c:pt>
                <c:pt idx="2">
                  <c:v>13519.2</c:v>
                </c:pt>
                <c:pt idx="3">
                  <c:v>14228.146799999999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12-4302-8E46-55A4E096DF86}"/>
            </c:ext>
          </c:extLst>
        </c:ser>
        <c:ser>
          <c:idx val="3"/>
          <c:order val="3"/>
          <c:tx>
            <c:strRef>
              <c:f>'revenue breakdown'!$T$7</c:f>
              <c:strCache>
                <c:ptCount val="1"/>
                <c:pt idx="0">
                  <c:v>Condensed milk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breakdown'!$V$7:$Y$7</c:f>
              <c:numCache>
                <c:formatCode>##,#00</c:formatCode>
                <c:ptCount val="4"/>
                <c:pt idx="0">
                  <c:v>6533.944199999999</c:v>
                </c:pt>
                <c:pt idx="1">
                  <c:v>7147.5887999999986</c:v>
                </c:pt>
                <c:pt idx="2">
                  <c:v>7398.7779999999993</c:v>
                </c:pt>
                <c:pt idx="3">
                  <c:v>7802.7528000000002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12-4302-8E46-55A4E096DF86}"/>
            </c:ext>
          </c:extLst>
        </c:ser>
        <c:ser>
          <c:idx val="4"/>
          <c:order val="4"/>
          <c:tx>
            <c:strRef>
              <c:f>'revenue breakdown'!$T$8</c:f>
              <c:strCache>
                <c:ptCount val="1"/>
                <c:pt idx="0">
                  <c:v>Plant-based and other dairy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breakdown'!$V$8:$Y$8</c:f>
              <c:numCache>
                <c:formatCode>##,#00</c:formatCode>
                <c:ptCount val="4"/>
                <c:pt idx="0">
                  <c:v>1549.1143999999997</c:v>
                </c:pt>
                <c:pt idx="1">
                  <c:v>1638.1554000000001</c:v>
                </c:pt>
                <c:pt idx="2">
                  <c:v>1673.2950000000001</c:v>
                </c:pt>
                <c:pt idx="3">
                  <c:v>1714.5980000000002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12-4302-8E46-55A4E096DF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662800"/>
        <c:axId val="51866388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v>CAGR</c:v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breakdown'!$U$13:$U$14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3.9189550209582702E-2</c:v>
                      </c:pt>
                      <c:pt idx="1">
                        <c:v>7.8379100419165397E-3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712-4302-8E46-55A4E096DF86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7"/>
          <c:order val="7"/>
          <c:tx>
            <c:strRef>
              <c:f>'revenue breakdown'!$T$13</c:f>
              <c:strCache>
                <c:ptCount val="1"/>
                <c:pt idx="0">
                  <c:v>CAGR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  <a:tailEnd type="triangle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0.38948807637263161"/>
                  <c:y val="1.375758303482909E-2"/>
                </c:manualLayout>
              </c:layout>
              <c:tx>
                <c:rich>
                  <a:bodyPr rot="-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037C86C-57B9-459E-BFE3-54E6EB7408F2}" type="SERIESNAME">
                      <a:rPr lang="en-US"/>
                      <a:pPr>
                        <a:defRPr/>
                      </a:pPr>
                      <a:t>[SERIES NAME]</a:t>
                    </a:fld>
                    <a:r>
                      <a:rPr lang="en-US" baseline="0"/>
                      <a:t>: 2.17%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712-4302-8E46-55A4E096DF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'revenue breakdown'!$X$13:$X$14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'revenue breakdown'!$Y$13:$Y$14</c:f>
              <c:numCache>
                <c:formatCode>##,#00</c:formatCode>
                <c:ptCount val="2"/>
                <c:pt idx="0">
                  <c:v>52376.53244000001</c:v>
                </c:pt>
                <c:pt idx="1">
                  <c:v>67094.017140000011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12-4302-8E46-55A4E096DF86}"/>
            </c:ext>
          </c:extLst>
        </c:ser>
        <c:ser>
          <c:idx val="8"/>
          <c:order val="8"/>
          <c:tx>
            <c:strRef>
              <c:f>'revenue breakdown'!$V$12</c:f>
              <c:strCache>
                <c:ptCount val="1"/>
                <c:pt idx="0">
                  <c:v>CAGR: 5.92%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breakdown'!$Z$14</c:f>
              <c:numCache>
                <c:formatCode>##,#00</c:formatCode>
                <c:ptCount val="1"/>
                <c:pt idx="0">
                  <c:v>2.5</c:v>
                </c:pt>
              </c:numCache>
            </c:numRef>
          </c:xVal>
          <c:yVal>
            <c:numRef>
              <c:f>'revenue breakdown'!$AA$13</c:f>
              <c:numCache>
                <c:formatCode>##,#00</c:formatCode>
                <c:ptCount val="1"/>
                <c:pt idx="0">
                  <c:v>59735.27479000001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12-4302-8E46-55A4E096D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2800"/>
        <c:axId val="51866388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'revenue breakdown'!$T$9</c15:sqref>
                        </c15:formulaRef>
                      </c:ext>
                    </c:extLst>
                    <c:strCache>
                      <c:ptCount val="1"/>
                      <c:pt idx="0">
                        <c:v>Force zero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'revenue breakdown'!$U$9:$Z$9</c15:sqref>
                        </c15:formulaRef>
                      </c:ext>
                    </c:extLst>
                    <c:numCache>
                      <c:formatCode>##,#00</c:formatCode>
                      <c:ptCount val="6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3712-4302-8E46-55A4E096DF86}"/>
                  </c:ext>
                </c:extLst>
              </c15:ser>
            </c15:filteredScatterSeries>
          </c:ext>
        </c:extLst>
      </c:scatterChart>
      <c:catAx>
        <c:axId val="518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3880"/>
        <c:crosses val="autoZero"/>
        <c:auto val="1"/>
        <c:lblAlgn val="ctr"/>
        <c:lblOffset val="100"/>
        <c:noMultiLvlLbl val="0"/>
      </c:catAx>
      <c:valAx>
        <c:axId val="518663880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7164348606020747"/>
          <c:w val="1"/>
          <c:h val="0.12566815992805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GPM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921259842519691E-2"/>
          <c:y val="5.0925925925925923E-2"/>
          <c:w val="0.90007874015748046"/>
          <c:h val="0.713300889472149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'Financial ratio'!$A$15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ratio'!$C$15:$F$15</c:f>
              <c:numCache>
                <c:formatCode>0.00%</c:formatCode>
                <c:ptCount val="4"/>
                <c:pt idx="0">
                  <c:v>0.47199999999999998</c:v>
                </c:pt>
                <c:pt idx="1">
                  <c:v>0.46400000000000002</c:v>
                </c:pt>
                <c:pt idx="2">
                  <c:v>0.43099999999999999</c:v>
                </c:pt>
                <c:pt idx="3">
                  <c:v>0.39900000000000002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6-44FA-BA43-45E83FDB5927}"/>
            </c:ext>
          </c:extLst>
        </c:ser>
        <c:ser>
          <c:idx val="1"/>
          <c:order val="1"/>
          <c:tx>
            <c:strRef>
              <c:f>'Financial ratio'!$A$16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ratio'!$C$16:$F$16</c:f>
              <c:numCache>
                <c:formatCode>0.00%</c:formatCode>
                <c:ptCount val="4"/>
                <c:pt idx="0">
                  <c:v>0.317</c:v>
                </c:pt>
                <c:pt idx="1">
                  <c:v>0.32</c:v>
                </c:pt>
                <c:pt idx="2">
                  <c:v>0.32600000000000001</c:v>
                </c:pt>
                <c:pt idx="3">
                  <c:v>0.24299999999999999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86-44FA-BA43-45E83FDB5927}"/>
            </c:ext>
          </c:extLst>
        </c:ser>
        <c:ser>
          <c:idx val="2"/>
          <c:order val="2"/>
          <c:tx>
            <c:strRef>
              <c:f>'Financial ratio'!$A$17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ratio'!$C$17:$F$17</c:f>
              <c:numCache>
                <c:formatCode>0.00%</c:formatCode>
                <c:ptCount val="4"/>
                <c:pt idx="0">
                  <c:v>0.29499999999999998</c:v>
                </c:pt>
                <c:pt idx="1">
                  <c:v>0.28899999999999998</c:v>
                </c:pt>
                <c:pt idx="2">
                  <c:v>0.314</c:v>
                </c:pt>
                <c:pt idx="3">
                  <c:v>0.30499999999999999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86-44FA-BA43-45E83FDB5927}"/>
            </c:ext>
          </c:extLst>
        </c:ser>
        <c:ser>
          <c:idx val="3"/>
          <c:order val="3"/>
          <c:tx>
            <c:strRef>
              <c:f>'Financial ratio'!$A$18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ratio'!$C$18:$F$18</c:f>
              <c:numCache>
                <c:formatCode>0.00%</c:formatCode>
                <c:ptCount val="4"/>
                <c:pt idx="0">
                  <c:v>0.57999999999999996</c:v>
                </c:pt>
                <c:pt idx="1">
                  <c:v>0.57799999999999996</c:v>
                </c:pt>
                <c:pt idx="2">
                  <c:v>0.58799999999999997</c:v>
                </c:pt>
                <c:pt idx="3">
                  <c:v>0.59799999999999998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86-44FA-BA43-45E83FDB5927}"/>
            </c:ext>
          </c:extLst>
        </c:ser>
        <c:ser>
          <c:idx val="4"/>
          <c:order val="4"/>
          <c:tx>
            <c:strRef>
              <c:f>'Financial ratio'!$A$19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ratio'!$C$19:$F$19</c:f>
              <c:numCache>
                <c:formatCode>0.00%</c:formatCode>
                <c:ptCount val="4"/>
                <c:pt idx="0">
                  <c:v>0.311</c:v>
                </c:pt>
                <c:pt idx="1">
                  <c:v>0.219</c:v>
                </c:pt>
                <c:pt idx="2">
                  <c:v>0.18</c:v>
                </c:pt>
                <c:pt idx="3">
                  <c:v>0.182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86-44FA-BA43-45E83FDB5927}"/>
            </c:ext>
          </c:extLst>
        </c:ser>
        <c:ser>
          <c:idx val="5"/>
          <c:order val="5"/>
          <c:tx>
            <c:strRef>
              <c:f>'Financial ratio'!$A$20</c:f>
              <c:strCache>
                <c:ptCount val="1"/>
                <c:pt idx="0">
                  <c:v>China Feihe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ratio'!$C$20:$F$20</c:f>
              <c:numCache>
                <c:formatCode>0.00%</c:formatCode>
                <c:ptCount val="4"/>
                <c:pt idx="0">
                  <c:v>0.7</c:v>
                </c:pt>
                <c:pt idx="1">
                  <c:v>0.72499999999999998</c:v>
                </c:pt>
                <c:pt idx="2">
                  <c:v>0.70299999999999996</c:v>
                </c:pt>
                <c:pt idx="3">
                  <c:v>0.65500000000000003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86-44FA-BA43-45E83FDB5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0742576"/>
        <c:axId val="780744016"/>
      </c:barChart>
      <c:lineChart>
        <c:grouping val="standard"/>
        <c:varyColors val="0"/>
        <c:ser>
          <c:idx val="6"/>
          <c:order val="6"/>
          <c:tx>
            <c:strRef>
              <c:f>'Financial ratio'!$A$21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ratio'!$C$14:$F$14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ratio'!$C$21:$F$21</c:f>
              <c:numCache>
                <c:formatCode>0.00%</c:formatCode>
                <c:ptCount val="4"/>
                <c:pt idx="0">
                  <c:v>0.26300000000000001</c:v>
                </c:pt>
                <c:pt idx="1">
                  <c:v>0.27300000000000002</c:v>
                </c:pt>
                <c:pt idx="2">
                  <c:v>0.26800000000000002</c:v>
                </c:pt>
                <c:pt idx="3">
                  <c:v>0.249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22-40B2-9A67-91BCB0BBA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742576"/>
        <c:axId val="780744016"/>
      </c:lineChart>
      <c:catAx>
        <c:axId val="78074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744016"/>
        <c:crosses val="autoZero"/>
        <c:auto val="1"/>
        <c:lblAlgn val="ctr"/>
        <c:lblOffset val="100"/>
        <c:noMultiLvlLbl val="0"/>
      </c:catAx>
      <c:valAx>
        <c:axId val="7807440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074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58792650918635"/>
          <c:y val="2.7777777777777776E-2"/>
          <c:w val="0.85007874015748042"/>
          <c:h val="0.75496755613881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'Financial ratio'!$A$24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ratio'!$C$24:$F$24</c:f>
              <c:numCache>
                <c:formatCode>0.00%</c:formatCode>
                <c:ptCount val="4"/>
                <c:pt idx="0">
                  <c:v>0.22700000000000001</c:v>
                </c:pt>
                <c:pt idx="1">
                  <c:v>0.22700000000000001</c:v>
                </c:pt>
                <c:pt idx="2">
                  <c:v>0.20899999999999999</c:v>
                </c:pt>
                <c:pt idx="3">
                  <c:v>0.17499999999999999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A-4A23-B875-ADC1EF0052C9}"/>
            </c:ext>
          </c:extLst>
        </c:ser>
        <c:ser>
          <c:idx val="1"/>
          <c:order val="1"/>
          <c:tx>
            <c:strRef>
              <c:f>'Financial ratio'!$A$25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ratio'!$C$25:$F$25</c:f>
              <c:numCache>
                <c:formatCode>0.00%</c:formatCode>
                <c:ptCount val="4"/>
                <c:pt idx="0">
                  <c:v>3.4000000000000002E-2</c:v>
                </c:pt>
                <c:pt idx="1">
                  <c:v>3.4000000000000002E-2</c:v>
                </c:pt>
                <c:pt idx="2">
                  <c:v>0.04</c:v>
                </c:pt>
                <c:pt idx="3">
                  <c:v>5.1999999999999998E-2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A-4A23-B875-ADC1EF0052C9}"/>
            </c:ext>
          </c:extLst>
        </c:ser>
        <c:ser>
          <c:idx val="2"/>
          <c:order val="2"/>
          <c:tx>
            <c:strRef>
              <c:f>'Financial ratio'!$A$26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ratio'!$C$26:$F$26</c:f>
              <c:numCache>
                <c:formatCode>0.00%</c:formatCode>
                <c:ptCount val="4"/>
                <c:pt idx="0">
                  <c:v>5.1999999999999998E-2</c:v>
                </c:pt>
                <c:pt idx="1">
                  <c:v>4.8000000000000001E-2</c:v>
                </c:pt>
                <c:pt idx="2">
                  <c:v>9.0999999999999998E-2</c:v>
                </c:pt>
                <c:pt idx="3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A-4A23-B875-ADC1EF0052C9}"/>
            </c:ext>
          </c:extLst>
        </c:ser>
        <c:ser>
          <c:idx val="3"/>
          <c:order val="3"/>
          <c:tx>
            <c:strRef>
              <c:f>'Financial ratio'!$A$27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ratio'!$C$27:$F$27</c:f>
              <c:numCache>
                <c:formatCode>0.00%</c:formatCode>
                <c:ptCount val="4"/>
                <c:pt idx="0">
                  <c:v>0.104</c:v>
                </c:pt>
                <c:pt idx="1">
                  <c:v>0.107</c:v>
                </c:pt>
                <c:pt idx="2">
                  <c:v>0.107</c:v>
                </c:pt>
                <c:pt idx="3">
                  <c:v>0.127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BA-4A23-B875-ADC1EF0052C9}"/>
            </c:ext>
          </c:extLst>
        </c:ser>
        <c:ser>
          <c:idx val="4"/>
          <c:order val="4"/>
          <c:tx>
            <c:strRef>
              <c:f>'Financial ratio'!$A$28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ratio'!$C$28:$F$28</c:f>
              <c:numCache>
                <c:formatCode>0.00%</c:formatCode>
                <c:ptCount val="4"/>
                <c:pt idx="0">
                  <c:v>0.05</c:v>
                </c:pt>
                <c:pt idx="1">
                  <c:v>4.7E-2</c:v>
                </c:pt>
                <c:pt idx="2">
                  <c:v>2.3E-2</c:v>
                </c:pt>
                <c:pt idx="3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BA-4A23-B875-ADC1EF0052C9}"/>
            </c:ext>
          </c:extLst>
        </c:ser>
        <c:ser>
          <c:idx val="5"/>
          <c:order val="5"/>
          <c:tx>
            <c:strRef>
              <c:f>'Financial ratio'!$A$29</c:f>
              <c:strCache>
                <c:ptCount val="1"/>
                <c:pt idx="0">
                  <c:v>China Feihe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ratio'!$C$29:$F$29</c:f>
              <c:numCache>
                <c:formatCode>0.00%</c:formatCode>
                <c:ptCount val="4"/>
                <c:pt idx="0">
                  <c:v>0.41899999999999998</c:v>
                </c:pt>
                <c:pt idx="1">
                  <c:v>0.53500000000000003</c:v>
                </c:pt>
                <c:pt idx="2">
                  <c:v>0.42699999999999999</c:v>
                </c:pt>
                <c:pt idx="3">
                  <c:v>0.315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BA-4A23-B875-ADC1EF005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74736456"/>
        <c:axId val="774731416"/>
      </c:barChart>
      <c:lineChart>
        <c:grouping val="standard"/>
        <c:varyColors val="0"/>
        <c:ser>
          <c:idx val="6"/>
          <c:order val="6"/>
          <c:tx>
            <c:strRef>
              <c:f>'Financial ratio'!$A$30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ratio'!$C$23:$F$23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ratio'!$C$30:$F$30</c:f>
              <c:numCache>
                <c:formatCode>0.00%</c:formatCode>
                <c:ptCount val="4"/>
                <c:pt idx="0">
                  <c:v>0.105</c:v>
                </c:pt>
                <c:pt idx="1">
                  <c:v>0.113</c:v>
                </c:pt>
                <c:pt idx="2">
                  <c:v>0.11699999999999999</c:v>
                </c:pt>
                <c:pt idx="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1A-40E8-8E6E-C0EFE16FD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736456"/>
        <c:axId val="774731416"/>
      </c:lineChart>
      <c:catAx>
        <c:axId val="77473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4731416"/>
        <c:crosses val="autoZero"/>
        <c:auto val="1"/>
        <c:lblAlgn val="ctr"/>
        <c:lblOffset val="100"/>
        <c:noMultiLvlLbl val="0"/>
      </c:catAx>
      <c:valAx>
        <c:axId val="7747314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7473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'Financial ratio'!$H$38</c:f>
              <c:strCache>
                <c:ptCount val="1"/>
                <c:pt idx="0">
                  <c:v>GPM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ratio'!$I$36:$L$36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ratio'!$I$38:$L$38</c:f>
              <c:numCache>
                <c:formatCode>0.00%</c:formatCode>
                <c:ptCount val="4"/>
                <c:pt idx="0">
                  <c:v>0.47199999999999998</c:v>
                </c:pt>
                <c:pt idx="1">
                  <c:v>0.46400000000000002</c:v>
                </c:pt>
                <c:pt idx="2">
                  <c:v>0.43099999999999999</c:v>
                </c:pt>
                <c:pt idx="3">
                  <c:v>0.39900000000000002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3-4C16-A9C5-93D7AA2A0A6E}"/>
            </c:ext>
          </c:extLst>
        </c:ser>
        <c:ser>
          <c:idx val="2"/>
          <c:order val="2"/>
          <c:tx>
            <c:strRef>
              <c:f>'Financial ratio'!$H$39</c:f>
              <c:strCache>
                <c:ptCount val="1"/>
                <c:pt idx="0">
                  <c:v>OPM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ratio'!$I$36:$L$36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ratio'!$I$39:$L$39</c:f>
              <c:numCache>
                <c:formatCode>0.00%</c:formatCode>
                <c:ptCount val="4"/>
                <c:pt idx="0">
                  <c:v>0.22700000000000001</c:v>
                </c:pt>
                <c:pt idx="1">
                  <c:v>0.22700000000000001</c:v>
                </c:pt>
                <c:pt idx="2">
                  <c:v>0.20899999999999999</c:v>
                </c:pt>
                <c:pt idx="3">
                  <c:v>0.17499999999999999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3-4C16-A9C5-93D7AA2A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34870655"/>
        <c:axId val="1028859951"/>
      </c:barChart>
      <c:lineChart>
        <c:grouping val="standard"/>
        <c:varyColors val="0"/>
        <c:ser>
          <c:idx val="0"/>
          <c:order val="0"/>
          <c:tx>
            <c:strRef>
              <c:f>'Financial ratio'!$H$37</c:f>
              <c:strCache>
                <c:ptCount val="1"/>
                <c:pt idx="0">
                  <c:v>COGS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ratio'!$I$36:$L$36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ratio'!$I$37:$L$37</c:f>
              <c:numCache>
                <c:formatCode>General</c:formatCode>
                <c:ptCount val="4"/>
                <c:pt idx="0">
                  <c:v>29745.905999999999</c:v>
                </c:pt>
                <c:pt idx="1">
                  <c:v>31967.663</c:v>
                </c:pt>
                <c:pt idx="2">
                  <c:v>34640.862999999998</c:v>
                </c:pt>
                <c:pt idx="3">
                  <c:v>36059.016000000003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3-4C16-A9C5-93D7AA2A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877375"/>
        <c:axId val="1028852015"/>
      </c:lineChart>
      <c:catAx>
        <c:axId val="83487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8859951"/>
        <c:crosses val="autoZero"/>
        <c:auto val="1"/>
        <c:lblAlgn val="ctr"/>
        <c:lblOffset val="100"/>
        <c:noMultiLvlLbl val="0"/>
      </c:catAx>
      <c:valAx>
        <c:axId val="102885995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4870655"/>
        <c:crosses val="autoZero"/>
        <c:crossBetween val="between"/>
      </c:valAx>
      <c:valAx>
        <c:axId val="10288520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4877375"/>
        <c:crosses val="max"/>
        <c:crossBetween val="between"/>
      </c:valAx>
      <c:catAx>
        <c:axId val="8348773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8520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ratio'!$A$34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ratio'!$B$34:$E$34</c:f>
              <c:numCache>
                <c:formatCode>0.00</c:formatCode>
                <c:ptCount val="4"/>
                <c:pt idx="0">
                  <c:v>1.37</c:v>
                </c:pt>
                <c:pt idx="1">
                  <c:v>1.28</c:v>
                </c:pt>
                <c:pt idx="2">
                  <c:v>1.2</c:v>
                </c:pt>
                <c:pt idx="3">
                  <c:v>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9-4C6B-A2A6-88C3DF224881}"/>
            </c:ext>
          </c:extLst>
        </c:ser>
        <c:ser>
          <c:idx val="1"/>
          <c:order val="1"/>
          <c:tx>
            <c:strRef>
              <c:f>'Financial ratio'!$A$35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ratio'!$B$35:$E$35</c:f>
              <c:numCache>
                <c:formatCode>0.00</c:formatCode>
                <c:ptCount val="4"/>
                <c:pt idx="0">
                  <c:v>1.38</c:v>
                </c:pt>
                <c:pt idx="1">
                  <c:v>1.36</c:v>
                </c:pt>
                <c:pt idx="2">
                  <c:v>1.31</c:v>
                </c:pt>
                <c:pt idx="3">
                  <c:v>1.1000000000000001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9-4C6B-A2A6-88C3DF224881}"/>
            </c:ext>
          </c:extLst>
        </c:ser>
        <c:ser>
          <c:idx val="2"/>
          <c:order val="2"/>
          <c:tx>
            <c:strRef>
              <c:f>'Financial ratio'!$A$36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ratio'!$B$36:$E$36</c:f>
              <c:numCache>
                <c:formatCode>0.00</c:formatCode>
                <c:ptCount val="4"/>
                <c:pt idx="0">
                  <c:v>2.23</c:v>
                </c:pt>
                <c:pt idx="1">
                  <c:v>2.14</c:v>
                </c:pt>
                <c:pt idx="2">
                  <c:v>1.9</c:v>
                </c:pt>
                <c:pt idx="3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9-4C6B-A2A6-88C3DF224881}"/>
            </c:ext>
          </c:extLst>
        </c:ser>
        <c:ser>
          <c:idx val="3"/>
          <c:order val="3"/>
          <c:tx>
            <c:strRef>
              <c:f>'Financial ratio'!$A$37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ratio'!$B$37:$E$37</c:f>
              <c:numCache>
                <c:formatCode>0.00</c:formatCode>
                <c:ptCount val="4"/>
                <c:pt idx="0">
                  <c:v>0.65</c:v>
                </c:pt>
                <c:pt idx="1">
                  <c:v>0.65</c:v>
                </c:pt>
                <c:pt idx="2">
                  <c:v>0.61</c:v>
                </c:pt>
                <c:pt idx="3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9-4C6B-A2A6-88C3DF224881}"/>
            </c:ext>
          </c:extLst>
        </c:ser>
        <c:ser>
          <c:idx val="4"/>
          <c:order val="4"/>
          <c:tx>
            <c:strRef>
              <c:f>'Financial ratio'!$A$38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ratio'!$B$38:$E$38</c:f>
              <c:numCache>
                <c:formatCode>0.00</c:formatCode>
                <c:ptCount val="4"/>
                <c:pt idx="0">
                  <c:v>1.27</c:v>
                </c:pt>
                <c:pt idx="1">
                  <c:v>1.34</c:v>
                </c:pt>
                <c:pt idx="2">
                  <c:v>1.34</c:v>
                </c:pt>
                <c:pt idx="3">
                  <c:v>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F9-4C6B-A2A6-88C3DF224881}"/>
            </c:ext>
          </c:extLst>
        </c:ser>
        <c:ser>
          <c:idx val="5"/>
          <c:order val="5"/>
          <c:tx>
            <c:strRef>
              <c:f>'Financial ratio'!$A$39</c:f>
              <c:strCache>
                <c:ptCount val="1"/>
                <c:pt idx="0">
                  <c:v>China Feihe Ltd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ratio'!$B$39:$E$39</c:f>
              <c:numCache>
                <c:formatCode>0.00</c:formatCode>
                <c:ptCount val="4"/>
                <c:pt idx="0">
                  <c:v>0.79</c:v>
                </c:pt>
                <c:pt idx="1">
                  <c:v>0.72</c:v>
                </c:pt>
                <c:pt idx="2">
                  <c:v>0.76</c:v>
                </c:pt>
                <c:pt idx="3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F9-4C6B-A2A6-88C3DF224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3337839"/>
        <c:axId val="886105231"/>
      </c:barChart>
      <c:lineChart>
        <c:grouping val="standard"/>
        <c:varyColors val="0"/>
        <c:ser>
          <c:idx val="6"/>
          <c:order val="6"/>
          <c:tx>
            <c:strRef>
              <c:f>'Financial ratio'!$A$40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ratio'!$B$33:$E$33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ratio'!$B$40:$E$40</c:f>
              <c:numCache>
                <c:formatCode>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9-4C6B-A2A6-88C3DF224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3337839"/>
        <c:axId val="886105231"/>
      </c:lineChart>
      <c:catAx>
        <c:axId val="83333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86105231"/>
        <c:crosses val="autoZero"/>
        <c:auto val="1"/>
        <c:lblAlgn val="ctr"/>
        <c:lblOffset val="100"/>
        <c:noMultiLvlLbl val="0"/>
      </c:catAx>
      <c:valAx>
        <c:axId val="88610523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333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ratio'!$A$46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ratio'!$B$45:$E$45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ratio'!$B$46:$E$46</c:f>
              <c:numCache>
                <c:formatCode>#,##0.00_);[Red]\(#,##0.00\)</c:formatCode>
                <c:ptCount val="4"/>
                <c:pt idx="0">
                  <c:v>5.7</c:v>
                </c:pt>
                <c:pt idx="1">
                  <c:v>6.5</c:v>
                </c:pt>
                <c:pt idx="2">
                  <c:v>5.9</c:v>
                </c:pt>
                <c:pt idx="3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37-4A0A-9F38-0038E9450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32287375"/>
        <c:axId val="87266915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'Financial ratio'!$A$47</c15:sqref>
                        </c15:formulaRef>
                      </c:ext>
                    </c:extLst>
                    <c:strCache>
                      <c:ptCount val="1"/>
                      <c:pt idx="0">
                        <c:v>Morinaga Milk Industry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'Financial ratio'!$B$45:$E$45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'Financial ratio'!$B$47:$E$47</c15:sqref>
                        </c15:formulaRef>
                      </c:ext>
                    </c:extLst>
                    <c:numCache>
                      <c:formatCode>#,##0.0_);[Red]\(#,##0.0\)</c:formatCode>
                      <c:ptCount val="4"/>
                      <c:pt idx="0">
                        <c:v>6.4</c:v>
                      </c:pt>
                      <c:pt idx="1">
                        <c:v>6</c:v>
                      </c:pt>
                      <c:pt idx="2">
                        <c:v>5.8</c:v>
                      </c:pt>
                      <c:pt idx="3">
                        <c:v>5.6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437-4A0A-9F38-0038E945005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ratio'!$A$48</c15:sqref>
                        </c15:formulaRef>
                      </c:ext>
                    </c:extLst>
                    <c:strCache>
                      <c:ptCount val="1"/>
                      <c:pt idx="0">
                        <c:v>Hatsun Agro Product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ratio'!$B$48:$E$48</c15:sqref>
                        </c15:formulaRef>
                      </c:ext>
                    </c:extLst>
                    <c:numCache>
                      <c:formatCode>#,##0.0_);[Red]\(#,##0.0\)</c:formatCode>
                      <c:ptCount val="4"/>
                      <c:pt idx="0">
                        <c:v>8.3000000000000007</c:v>
                      </c:pt>
                      <c:pt idx="1">
                        <c:v>9.4</c:v>
                      </c:pt>
                      <c:pt idx="2">
                        <c:v>7.9</c:v>
                      </c:pt>
                      <c:pt idx="3">
                        <c:v>7.4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437-4A0A-9F38-0038E945005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ratio'!$A$49</c15:sqref>
                        </c15:formulaRef>
                      </c:ext>
                    </c:extLst>
                    <c:strCache>
                      <c:ptCount val="1"/>
                      <c:pt idx="0">
                        <c:v>Yakult Honsha Co Ltd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ratio'!$B$49:$E$49</c15:sqref>
                        </c15:formulaRef>
                      </c:ext>
                    </c:extLst>
                    <c:numCache>
                      <c:formatCode>#,##0.0_);[Red]\(#,##0.0\)</c:formatCode>
                      <c:ptCount val="4"/>
                      <c:pt idx="0">
                        <c:v>6</c:v>
                      </c:pt>
                      <c:pt idx="1">
                        <c:v>5.9</c:v>
                      </c:pt>
                      <c:pt idx="2">
                        <c:v>5.6</c:v>
                      </c:pt>
                      <c:pt idx="3">
                        <c:v>5.7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37-4A0A-9F38-0038E945005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ratio'!$A$50</c15:sqref>
                        </c15:formulaRef>
                      </c:ext>
                    </c:extLst>
                    <c:strCache>
                      <c:ptCount val="1"/>
                      <c:pt idx="0">
                        <c:v>Bright Dairy &amp; Food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ratio'!$B$50:$E$50</c15:sqref>
                        </c15:formulaRef>
                      </c:ext>
                    </c:extLst>
                    <c:numCache>
                      <c:formatCode>#,##0.0_);[Red]\(#,##0.0\)</c:formatCode>
                      <c:ptCount val="4"/>
                      <c:pt idx="0">
                        <c:v>7.2</c:v>
                      </c:pt>
                      <c:pt idx="1">
                        <c:v>7.6</c:v>
                      </c:pt>
                      <c:pt idx="2">
                        <c:v>8</c:v>
                      </c:pt>
                      <c:pt idx="3">
                        <c:v>6.3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437-4A0A-9F38-0038E945005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ratio'!$A$51</c15:sqref>
                        </c15:formulaRef>
                      </c:ext>
                    </c:extLst>
                    <c:strCache>
                      <c:ptCount val="1"/>
                      <c:pt idx="0">
                        <c:v>China Feihe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ratio'!$B$45:$E$45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ratio'!$B$51:$E$51</c15:sqref>
                        </c15:formulaRef>
                      </c:ext>
                    </c:extLst>
                    <c:numCache>
                      <c:formatCode>#,##0.0_);[Red]\(#,##0.0\)</c:formatCode>
                      <c:ptCount val="4"/>
                      <c:pt idx="0">
                        <c:v>6.1</c:v>
                      </c:pt>
                      <c:pt idx="1">
                        <c:v>5.2</c:v>
                      </c:pt>
                      <c:pt idx="2">
                        <c:v>4.5</c:v>
                      </c:pt>
                      <c:pt idx="3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437-4A0A-9F38-0038E945005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'Financial ratio'!$A$52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ratio'!$B$45:$E$45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ratio'!$B$52:$E$52</c:f>
              <c:numCache>
                <c:formatCode>#,##0.0_);[Red]\(#,##0.0\)</c:formatCode>
                <c:ptCount val="4"/>
                <c:pt idx="0">
                  <c:v>5.6</c:v>
                </c:pt>
                <c:pt idx="1">
                  <c:v>5.7</c:v>
                </c:pt>
                <c:pt idx="2">
                  <c:v>5.4</c:v>
                </c:pt>
                <c:pt idx="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37-4A0A-9F38-0038E9450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2287375"/>
        <c:axId val="872669151"/>
      </c:lineChart>
      <c:catAx>
        <c:axId val="193228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2669151"/>
        <c:crosses val="autoZero"/>
        <c:auto val="1"/>
        <c:lblAlgn val="ctr"/>
        <c:lblOffset val="100"/>
        <c:noMultiLvlLbl val="0"/>
      </c:catAx>
      <c:valAx>
        <c:axId val="8726691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93228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ratio'!$A$58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ratio'!$B$58:$E$58</c:f>
              <c:numCache>
                <c:formatCode>#,##0.0_);[Red]\(#,##0.0\)</c:formatCode>
                <c:ptCount val="4"/>
                <c:pt idx="0" formatCode="General">
                  <c:v>14.3</c:v>
                </c:pt>
                <c:pt idx="1">
                  <c:v>13.7</c:v>
                </c:pt>
                <c:pt idx="2">
                  <c:v>12.2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7-4E53-A592-985D7744C312}"/>
            </c:ext>
          </c:extLst>
        </c:ser>
        <c:ser>
          <c:idx val="1"/>
          <c:order val="1"/>
          <c:tx>
            <c:strRef>
              <c:f>'Financial ratio'!$A$59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ratio'!$B$59:$E$59</c:f>
              <c:numCache>
                <c:formatCode>#,##0.0_);[Red]\(#,##0.0\)</c:formatCode>
                <c:ptCount val="4"/>
                <c:pt idx="0" formatCode="General">
                  <c:v>9.1999999999999993</c:v>
                </c:pt>
                <c:pt idx="1">
                  <c:v>9.3000000000000007</c:v>
                </c:pt>
                <c:pt idx="2">
                  <c:v>9.5</c:v>
                </c:pt>
                <c:pt idx="3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7-4E53-A592-985D7744C312}"/>
            </c:ext>
          </c:extLst>
        </c:ser>
        <c:ser>
          <c:idx val="2"/>
          <c:order val="2"/>
          <c:tx>
            <c:strRef>
              <c:f>'Financial ratio'!$A$60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ratio'!$B$60:$E$60</c:f>
              <c:numCache>
                <c:formatCode>#,##0.0_);[Red]\(#,##0.0\)</c:formatCode>
                <c:ptCount val="4"/>
                <c:pt idx="0" formatCode="General">
                  <c:v>10.15</c:v>
                </c:pt>
                <c:pt idx="1">
                  <c:v>10.5</c:v>
                </c:pt>
                <c:pt idx="2">
                  <c:v>10.6</c:v>
                </c:pt>
                <c:pt idx="3">
                  <c:v>8.7799999999999994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7-4E53-A592-985D7744C312}"/>
            </c:ext>
          </c:extLst>
        </c:ser>
        <c:ser>
          <c:idx val="3"/>
          <c:order val="3"/>
          <c:tx>
            <c:strRef>
              <c:f>'Financial ratio'!$A$61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ratio'!$B$61:$E$61</c:f>
              <c:numCache>
                <c:formatCode>0.00</c:formatCode>
                <c:ptCount val="4"/>
                <c:pt idx="0">
                  <c:v>7.5</c:v>
                </c:pt>
                <c:pt idx="1">
                  <c:v>7.8</c:v>
                </c:pt>
                <c:pt idx="2">
                  <c:v>7.6</c:v>
                </c:pt>
                <c:pt idx="3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7-4E53-A592-985D7744C312}"/>
            </c:ext>
          </c:extLst>
        </c:ser>
        <c:ser>
          <c:idx val="4"/>
          <c:order val="4"/>
          <c:tx>
            <c:strRef>
              <c:f>'Financial ratio'!$A$62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ratio'!$B$62:$E$62</c:f>
              <c:numCache>
                <c:formatCode>0.00</c:formatCode>
                <c:ptCount val="4"/>
                <c:pt idx="0">
                  <c:v>11.8</c:v>
                </c:pt>
                <c:pt idx="1">
                  <c:v>12.1</c:v>
                </c:pt>
                <c:pt idx="2">
                  <c:v>12.9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7-4E53-A592-985D7744C312}"/>
            </c:ext>
          </c:extLst>
        </c:ser>
        <c:ser>
          <c:idx val="5"/>
          <c:order val="5"/>
          <c:tx>
            <c:strRef>
              <c:f>'Financial ratio'!$A$63</c:f>
              <c:strCache>
                <c:ptCount val="1"/>
                <c:pt idx="0">
                  <c:v>China Feihe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ratio'!$B$63:$E$63</c:f>
              <c:numCache>
                <c:formatCode>General</c:formatCode>
                <c:ptCount val="4"/>
                <c:pt idx="0">
                  <c:v>21.4</c:v>
                </c:pt>
                <c:pt idx="1">
                  <c:v>30.8</c:v>
                </c:pt>
                <c:pt idx="2">
                  <c:v>33.299999999999997</c:v>
                </c:pt>
                <c:pt idx="3">
                  <c:v>26.6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7-4E53-A592-985D7744C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025964591"/>
        <c:axId val="1207889327"/>
      </c:barChart>
      <c:lineChart>
        <c:grouping val="standard"/>
        <c:varyColors val="0"/>
        <c:ser>
          <c:idx val="6"/>
          <c:order val="6"/>
          <c:tx>
            <c:strRef>
              <c:f>'Financial ratio'!$A$64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ratio'!$B$57:$E$57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ratio'!$B$64:$E$64</c:f>
              <c:numCache>
                <c:formatCode>#,##0.0_);[Red]\(#,##0.0\)</c:formatCode>
                <c:ptCount val="4"/>
                <c:pt idx="0" formatCode="General">
                  <c:v>9.4</c:v>
                </c:pt>
                <c:pt idx="1">
                  <c:v>9.9</c:v>
                </c:pt>
                <c:pt idx="2">
                  <c:v>9.8000000000000007</c:v>
                </c:pt>
                <c:pt idx="3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47-4E53-A592-985D7744C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5964591"/>
        <c:axId val="1207889327"/>
      </c:lineChart>
      <c:catAx>
        <c:axId val="102596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7889327"/>
        <c:crosses val="autoZero"/>
        <c:auto val="1"/>
        <c:lblAlgn val="ctr"/>
        <c:lblOffset val="100"/>
        <c:noMultiLvlLbl val="0"/>
      </c:catAx>
      <c:valAx>
        <c:axId val="120788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596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ratio'!$A$67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ratio'!$B$66:$E$66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ratio'!$B$67:$E$67</c:f>
              <c:numCache>
                <c:formatCode>#,##0.000_);[Red]\(#,##0.000\)</c:formatCode>
                <c:ptCount val="4"/>
                <c:pt idx="0">
                  <c:v>0.2</c:v>
                </c:pt>
                <c:pt idx="1">
                  <c:v>0.24</c:v>
                </c:pt>
                <c:pt idx="2">
                  <c:v>0.28999999999999998</c:v>
                </c:pt>
                <c:pt idx="3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6-415E-9389-7CA31A0F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87720783"/>
        <c:axId val="103782311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'Financial ratio'!$A$68</c15:sqref>
                        </c15:formulaRef>
                      </c:ext>
                    </c:extLst>
                    <c:strCache>
                      <c:ptCount val="1"/>
                      <c:pt idx="0">
                        <c:v>Morinaga Milk Industry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'Financial ratio'!$B$66:$E$66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'Financial ratio'!$B$68:$E$68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0.65</c:v>
                      </c:pt>
                      <c:pt idx="1">
                        <c:v>0.56000000000000005</c:v>
                      </c:pt>
                      <c:pt idx="2">
                        <c:v>0.52</c:v>
                      </c:pt>
                      <c:pt idx="3">
                        <c:v>0.43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596-415E-9389-7CA31A0FD87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ratio'!$A$69</c15:sqref>
                        </c15:formulaRef>
                      </c:ext>
                    </c:extLst>
                    <c:strCache>
                      <c:ptCount val="1"/>
                      <c:pt idx="0">
                        <c:v>Hatsun Agro Product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ratio'!$B$66:$E$66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ratio'!$B$69:$E$69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1.28</c:v>
                      </c:pt>
                      <c:pt idx="1">
                        <c:v>1.59</c:v>
                      </c:pt>
                      <c:pt idx="2">
                        <c:v>1.59</c:v>
                      </c:pt>
                      <c:pt idx="3">
                        <c:v>1.75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96-415E-9389-7CA31A0FD87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ratio'!$A$70</c15:sqref>
                        </c15:formulaRef>
                      </c:ext>
                    </c:extLst>
                    <c:strCache>
                      <c:ptCount val="1"/>
                      <c:pt idx="0">
                        <c:v>Yakult Honsha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ratio'!$B$66:$E$66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ratio'!$B$70:$E$70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0.34</c:v>
                      </c:pt>
                      <c:pt idx="1">
                        <c:v>0.31</c:v>
                      </c:pt>
                      <c:pt idx="2">
                        <c:v>0.24</c:v>
                      </c:pt>
                      <c:pt idx="3">
                        <c:v>0.18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96-415E-9389-7CA31A0FD87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ratio'!$A$71</c15:sqref>
                        </c15:formulaRef>
                      </c:ext>
                    </c:extLst>
                    <c:strCache>
                      <c:ptCount val="1"/>
                      <c:pt idx="0">
                        <c:v>Bright Dairy &amp; Food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ratio'!$B$66:$E$66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ratio'!$B$71:$E$71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0.51</c:v>
                      </c:pt>
                      <c:pt idx="1">
                        <c:v>0.47</c:v>
                      </c:pt>
                      <c:pt idx="2">
                        <c:v>0.52</c:v>
                      </c:pt>
                      <c:pt idx="3">
                        <c:v>0.51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596-415E-9389-7CA31A0FD87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ratio'!$A$72</c15:sqref>
                        </c15:formulaRef>
                      </c:ext>
                    </c:extLst>
                    <c:strCache>
                      <c:ptCount val="1"/>
                      <c:pt idx="0">
                        <c:v>China Feihe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ratio'!$B$66:$E$66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ratio'!$B$72:$E$72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0.38</c:v>
                      </c:pt>
                      <c:pt idx="1">
                        <c:v>0.08</c:v>
                      </c:pt>
                      <c:pt idx="2">
                        <c:v>0.05</c:v>
                      </c:pt>
                      <c:pt idx="3">
                        <c:v>0.06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596-415E-9389-7CA31A0FD87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'Financial ratio'!$A$73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ratio'!$B$66:$E$66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ratio'!$B$73:$E$73</c:f>
              <c:numCache>
                <c:formatCode>#,##0.000_);[Red]\(#,##0.000\)</c:formatCode>
                <c:ptCount val="4"/>
                <c:pt idx="0">
                  <c:v>0.48299999999999998</c:v>
                </c:pt>
                <c:pt idx="1">
                  <c:v>0.60699999999999998</c:v>
                </c:pt>
                <c:pt idx="2">
                  <c:v>0.621</c:v>
                </c:pt>
                <c:pt idx="3">
                  <c:v>0.61499999999999999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96-415E-9389-7CA31A0FD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720783"/>
        <c:axId val="1037823119"/>
      </c:lineChart>
      <c:catAx>
        <c:axId val="88772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23119"/>
        <c:crosses val="autoZero"/>
        <c:auto val="1"/>
        <c:lblAlgn val="ctr"/>
        <c:lblOffset val="100"/>
        <c:noMultiLvlLbl val="0"/>
      </c:catAx>
      <c:valAx>
        <c:axId val="1037823119"/>
        <c:scaling>
          <c:orientation val="minMax"/>
        </c:scaling>
        <c:delete val="0"/>
        <c:axPos val="l"/>
        <c:numFmt formatCode="#,##0.000_);[Red]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72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'Financial ratio'!$H$96</c:f>
              <c:strCache>
                <c:ptCount val="1"/>
                <c:pt idx="0">
                  <c:v>Selling/General/Administrative Expense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ratio'!$I$90:$L$90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ratio'!$I$96:$L$96</c:f>
              <c:numCache>
                <c:formatCode>#,##0</c:formatCode>
                <c:ptCount val="4"/>
                <c:pt idx="0">
                  <c:v>14265.574000000001</c:v>
                </c:pt>
                <c:pt idx="1">
                  <c:v>14633.503000000001</c:v>
                </c:pt>
                <c:pt idx="2">
                  <c:v>14128.1</c:v>
                </c:pt>
                <c:pt idx="3">
                  <c:v>13762.791999999999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6-47E5-A6A8-3FA6CF0EE26F}"/>
            </c:ext>
          </c:extLst>
        </c:ser>
        <c:ser>
          <c:idx val="1"/>
          <c:order val="1"/>
          <c:tx>
            <c:strRef>
              <c:f>'Financial ratio'!$H$97</c:f>
              <c:strCache>
                <c:ptCount val="1"/>
                <c:pt idx="0">
                  <c:v>Labor &amp; Related Expense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ratio'!$I$90:$L$90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ratio'!$I$97:$L$97</c:f>
              <c:numCache>
                <c:formatCode>#,##0</c:formatCode>
                <c:ptCount val="4"/>
                <c:pt idx="0">
                  <c:v>1256.211</c:v>
                </c:pt>
                <c:pt idx="1">
                  <c:v>1205.454</c:v>
                </c:pt>
                <c:pt idx="2">
                  <c:v>1234.0419999999999</c:v>
                </c:pt>
                <c:pt idx="3">
                  <c:v>1298.8517716640001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6-47E5-A6A8-3FA6CF0EE26F}"/>
            </c:ext>
          </c:extLst>
        </c:ser>
        <c:ser>
          <c:idx val="2"/>
          <c:order val="2"/>
          <c:tx>
            <c:strRef>
              <c:f>'Financial ratio'!$H$98</c:f>
              <c:strCache>
                <c:ptCount val="1"/>
                <c:pt idx="0">
                  <c:v>Advertising Expense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ratio'!$I$90:$L$90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ratio'!$I$98:$L$98</c:f>
              <c:numCache>
                <c:formatCode>#,##0</c:formatCode>
                <c:ptCount val="4"/>
                <c:pt idx="0">
                  <c:v>10896.300999999999</c:v>
                </c:pt>
                <c:pt idx="1">
                  <c:v>11208.632</c:v>
                </c:pt>
                <c:pt idx="2">
                  <c:v>10462.407999999999</c:v>
                </c:pt>
                <c:pt idx="3">
                  <c:v>9915.5830000000005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E6-47E5-A6A8-3FA6CF0EE26F}"/>
            </c:ext>
          </c:extLst>
        </c:ser>
        <c:ser>
          <c:idx val="3"/>
          <c:order val="3"/>
          <c:tx>
            <c:strRef>
              <c:f>'Financial ratio'!$H$99</c:f>
              <c:strCache>
                <c:ptCount val="1"/>
                <c:pt idx="0">
                  <c:v>Interest Expense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ratio'!$I$90:$L$90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ratio'!$I$99:$L$99</c:f>
              <c:numCache>
                <c:formatCode>#,##0</c:formatCode>
                <c:ptCount val="4"/>
                <c:pt idx="0">
                  <c:v>108.825</c:v>
                </c:pt>
                <c:pt idx="1">
                  <c:v>143.81800000000001</c:v>
                </c:pt>
                <c:pt idx="2">
                  <c:v>88.799000000000007</c:v>
                </c:pt>
                <c:pt idx="3">
                  <c:v>166.03899999999999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E6-47E5-A6A8-3FA6CF0EE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1413656"/>
        <c:axId val="611412936"/>
      </c:barChart>
      <c:catAx>
        <c:axId val="61141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12936"/>
        <c:crosses val="autoZero"/>
        <c:auto val="1"/>
        <c:lblAlgn val="ctr"/>
        <c:lblOffset val="100"/>
        <c:noMultiLvlLbl val="0"/>
      </c:catAx>
      <c:valAx>
        <c:axId val="61141293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1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'Financial ratio'!$A$96</c:f>
              <c:strCache>
                <c:ptCount val="1"/>
                <c:pt idx="0">
                  <c:v>Inventories - Finished Goods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'Financial ratio'!$B$94:$E$94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ratio'!$B$96:$E$96</c:f>
              <c:numCache>
                <c:formatCode>#,##0_);[Red]\(#,##0\)</c:formatCode>
                <c:ptCount val="4"/>
                <c:pt idx="0">
                  <c:v>1377200</c:v>
                </c:pt>
                <c:pt idx="1">
                  <c:v>1249009</c:v>
                </c:pt>
                <c:pt idx="2">
                  <c:v>1196234</c:v>
                </c:pt>
                <c:pt idx="3">
                  <c:v>1087965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D3-45EC-B3F3-3CEA283107F6}"/>
            </c:ext>
          </c:extLst>
        </c:ser>
        <c:ser>
          <c:idx val="2"/>
          <c:order val="2"/>
          <c:tx>
            <c:strRef>
              <c:f>'Financial ratio'!$A$97</c:f>
              <c:strCache>
                <c:ptCount val="1"/>
                <c:pt idx="0">
                  <c:v>Inventories - Work In Progress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'Financial ratio'!$B$94:$E$94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ratio'!$B$97:$E$97</c:f>
              <c:numCache>
                <c:formatCode>#,##0_);[Red]\(#,##0\)</c:formatCode>
                <c:ptCount val="4"/>
                <c:pt idx="0">
                  <c:v>170681</c:v>
                </c:pt>
                <c:pt idx="1">
                  <c:v>217924</c:v>
                </c:pt>
                <c:pt idx="2">
                  <c:v>257787</c:v>
                </c:pt>
                <c:pt idx="3">
                  <c:v>199435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D3-45EC-B3F3-3CEA283107F6}"/>
            </c:ext>
          </c:extLst>
        </c:ser>
        <c:ser>
          <c:idx val="3"/>
          <c:order val="3"/>
          <c:tx>
            <c:strRef>
              <c:f>'Financial ratio'!$A$98</c:f>
              <c:strCache>
                <c:ptCount val="1"/>
                <c:pt idx="0">
                  <c:v>Inventories - Raw Materials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'Financial ratio'!$B$94:$E$94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ratio'!$B$98:$E$98</c:f>
              <c:numCache>
                <c:formatCode>#,##0_);[Red]\(#,##0\)</c:formatCode>
                <c:ptCount val="4"/>
                <c:pt idx="0">
                  <c:v>2661481</c:v>
                </c:pt>
                <c:pt idx="1">
                  <c:v>2923632</c:v>
                </c:pt>
                <c:pt idx="2">
                  <c:v>4226624</c:v>
                </c:pt>
                <c:pt idx="3">
                  <c:v>3365993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D3-45EC-B3F3-3CEA283107F6}"/>
            </c:ext>
          </c:extLst>
        </c:ser>
        <c:ser>
          <c:idx val="4"/>
          <c:order val="4"/>
          <c:tx>
            <c:strRef>
              <c:f>'Financial ratio'!$A$99</c:f>
              <c:strCache>
                <c:ptCount val="1"/>
                <c:pt idx="0">
                  <c:v>Inventories - Other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'Financial ratio'!$B$94:$E$94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ratio'!$B$99:$E$99</c:f>
              <c:numCache>
                <c:formatCode>#,##0_);[Red]\(#,##0\)</c:formatCode>
                <c:ptCount val="4"/>
                <c:pt idx="0">
                  <c:v>773682</c:v>
                </c:pt>
                <c:pt idx="1">
                  <c:v>514504</c:v>
                </c:pt>
                <c:pt idx="2">
                  <c:v>1092427</c:v>
                </c:pt>
                <c:pt idx="3">
                  <c:v>884170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D3-45EC-B3F3-3CEA28310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4015144"/>
        <c:axId val="714023424"/>
      </c:barChart>
      <c:lineChart>
        <c:grouping val="standard"/>
        <c:varyColors val="0"/>
        <c:ser>
          <c:idx val="0"/>
          <c:order val="0"/>
          <c:tx>
            <c:strRef>
              <c:f>'Financial ratio'!$A$95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'Financial ratio'!$B$94:$E$94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ratio'!$B$95:$E$95</c:f>
              <c:numCache>
                <c:formatCode>General</c:formatCode>
                <c:ptCount val="4"/>
                <c:pt idx="0">
                  <c:v>29745906</c:v>
                </c:pt>
                <c:pt idx="1">
                  <c:v>31967663</c:v>
                </c:pt>
                <c:pt idx="2">
                  <c:v>34640863</c:v>
                </c:pt>
                <c:pt idx="3">
                  <c:v>36059016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3-45EC-B3F3-3CEA28310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695680"/>
        <c:axId val="708695320"/>
      </c:lineChart>
      <c:catAx>
        <c:axId val="71401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4023424"/>
        <c:crosses val="autoZero"/>
        <c:auto val="1"/>
        <c:lblAlgn val="ctr"/>
        <c:lblOffset val="100"/>
        <c:noMultiLvlLbl val="0"/>
      </c:catAx>
      <c:valAx>
        <c:axId val="714023424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4015144"/>
        <c:crosses val="autoZero"/>
        <c:crossBetween val="between"/>
      </c:valAx>
      <c:valAx>
        <c:axId val="7086953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08695680"/>
        <c:crosses val="max"/>
        <c:crossBetween val="between"/>
      </c:valAx>
      <c:catAx>
        <c:axId val="70869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86953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ratio'!$A$43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982-4264-B4B8-A7C065198A93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982-4264-B4B8-A7C065198A9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982-4264-B4B8-A7C065198A9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982-4264-B4B8-A7C065198A93}"/>
              </c:ext>
            </c:extLst>
          </c:dPt>
          <c:cat>
            <c:numRef>
              <c:f>'Financial ratio'!$B$42:$E$42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ratio'!$B$43:$E$43</c:f>
              <c:numCache>
                <c:formatCode>#,##0.00_);[Red]\(#,##0.00\)</c:formatCode>
                <c:ptCount val="4"/>
                <c:pt idx="0">
                  <c:v>2.8189635979183021</c:v>
                </c:pt>
                <c:pt idx="1">
                  <c:v>3.1777622716340677</c:v>
                </c:pt>
                <c:pt idx="2">
                  <c:v>3.5371864303957872</c:v>
                </c:pt>
                <c:pt idx="3">
                  <c:v>3.5430355669524949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2-4264-B4B8-A7C065198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9875712"/>
        <c:axId val="713120960"/>
      </c:barChart>
      <c:catAx>
        <c:axId val="5198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120960"/>
        <c:crosses val="autoZero"/>
        <c:auto val="1"/>
        <c:lblAlgn val="ctr"/>
        <c:lblOffset val="100"/>
        <c:noMultiLvlLbl val="0"/>
      </c:catAx>
      <c:valAx>
        <c:axId val="713120960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987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ratio'!$A$76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ratio'!$B$75:$E$75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ratio'!$B$76:$E$76</c:f>
              <c:numCache>
                <c:formatCode>#,##0.000_);[Red]\(#,##0.000\)</c:formatCode>
                <c:ptCount val="4"/>
                <c:pt idx="0">
                  <c:v>1.71</c:v>
                </c:pt>
                <c:pt idx="1">
                  <c:v>2.09</c:v>
                </c:pt>
                <c:pt idx="2">
                  <c:v>2.12</c:v>
                </c:pt>
                <c:pt idx="3">
                  <c:v>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2-44E0-AB3E-1C8E86D33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6677632"/>
        <c:axId val="4907463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'Financial ratio'!$A$77</c15:sqref>
                        </c15:formulaRef>
                      </c:ext>
                    </c:extLst>
                    <c:strCache>
                      <c:ptCount val="1"/>
                      <c:pt idx="0">
                        <c:v>Morinaga Milk Industry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'Financial ratio'!$B$75:$E$75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'Financial ratio'!$B$77:$E$77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0.86</c:v>
                      </c:pt>
                      <c:pt idx="1">
                        <c:v>0.97</c:v>
                      </c:pt>
                      <c:pt idx="2">
                        <c:v>1.07</c:v>
                      </c:pt>
                      <c:pt idx="3">
                        <c:v>1.1499999999999999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AE2-44E0-AB3E-1C8E86D33B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ratio'!$A$78</c15:sqref>
                        </c15:formulaRef>
                      </c:ext>
                    </c:extLst>
                    <c:strCache>
                      <c:ptCount val="1"/>
                      <c:pt idx="0">
                        <c:v>Hatsun Agro Product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ratio'!$B$75:$E$75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ratio'!$B$78:$E$78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0.6</c:v>
                      </c:pt>
                      <c:pt idx="1">
                        <c:v>0.52</c:v>
                      </c:pt>
                      <c:pt idx="2">
                        <c:v>0.54</c:v>
                      </c:pt>
                      <c:pt idx="3">
                        <c:v>0.56000000000000005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AE2-44E0-AB3E-1C8E86D33B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ratio'!$A$79</c15:sqref>
                        </c15:formulaRef>
                      </c:ext>
                    </c:extLst>
                    <c:strCache>
                      <c:ptCount val="1"/>
                      <c:pt idx="0">
                        <c:v>Yakult Honsha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ratio'!$B$75:$E$75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ratio'!$B$79:$E$79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2.14</c:v>
                      </c:pt>
                      <c:pt idx="1">
                        <c:v>2.44</c:v>
                      </c:pt>
                      <c:pt idx="2">
                        <c:v>2.85</c:v>
                      </c:pt>
                      <c:pt idx="3">
                        <c:v>3.36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E2-44E0-AB3E-1C8E86D33B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ratio'!$A$80</c15:sqref>
                        </c15:formulaRef>
                      </c:ext>
                    </c:extLst>
                    <c:strCache>
                      <c:ptCount val="1"/>
                      <c:pt idx="0">
                        <c:v>Bright Dairy &amp; Food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ratio'!$B$75:$E$75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ratio'!$B$80:$E$80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0.88</c:v>
                      </c:pt>
                      <c:pt idx="1">
                        <c:v>0.99</c:v>
                      </c:pt>
                      <c:pt idx="2">
                        <c:v>1.06</c:v>
                      </c:pt>
                      <c:pt idx="3">
                        <c:v>0.92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E2-44E0-AB3E-1C8E86D33B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ratio'!$A$81</c15:sqref>
                        </c15:formulaRef>
                      </c:ext>
                    </c:extLst>
                    <c:strCache>
                      <c:ptCount val="1"/>
                      <c:pt idx="0">
                        <c:v>China Feihe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ratio'!$B$75:$E$75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ratio'!$B$81:$E$81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2.3199999999999998</c:v>
                      </c:pt>
                      <c:pt idx="1">
                        <c:v>2.61</c:v>
                      </c:pt>
                      <c:pt idx="2">
                        <c:v>2.88</c:v>
                      </c:pt>
                      <c:pt idx="3">
                        <c:v>2.98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E2-44E0-AB3E-1C8E86D33B6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'Financial ratio'!$A$82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ratio'!$B$75:$E$75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ratio'!$B$82:$E$82</c:f>
              <c:numCache>
                <c:formatCode>#,##0.000_);[Red]\(#,##0.000\)</c:formatCode>
                <c:ptCount val="4"/>
                <c:pt idx="0">
                  <c:v>1.4</c:v>
                </c:pt>
                <c:pt idx="1">
                  <c:v>1.5</c:v>
                </c:pt>
                <c:pt idx="2">
                  <c:v>1.7</c:v>
                </c:pt>
                <c:pt idx="3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4E0-AB3E-1C8E86D33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6677632"/>
        <c:axId val="490746368"/>
      </c:lineChart>
      <c:catAx>
        <c:axId val="80667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746368"/>
        <c:crosses val="autoZero"/>
        <c:auto val="1"/>
        <c:lblAlgn val="ctr"/>
        <c:lblOffset val="100"/>
        <c:noMultiLvlLbl val="0"/>
      </c:catAx>
      <c:valAx>
        <c:axId val="490746368"/>
        <c:scaling>
          <c:orientation val="minMax"/>
        </c:scaling>
        <c:delete val="0"/>
        <c:axPos val="l"/>
        <c:numFmt formatCode="#,##0.000_);[Red]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667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ratio'!$A$85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ratio'!$B$84:$E$84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ratio'!$B$85:$E$85</c:f>
              <c:numCache>
                <c:formatCode>#,##0.000_);[Red]\(#,##0.000\)</c:formatCode>
                <c:ptCount val="4"/>
                <c:pt idx="0">
                  <c:v>1.37</c:v>
                </c:pt>
                <c:pt idx="1">
                  <c:v>1.74</c:v>
                </c:pt>
                <c:pt idx="2">
                  <c:v>1.72</c:v>
                </c:pt>
                <c:pt idx="3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D-435E-AFBA-E6E66C948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1976240"/>
        <c:axId val="559787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'Financial ratio'!$A$86</c15:sqref>
                        </c15:formulaRef>
                      </c:ext>
                    </c:extLst>
                    <c:strCache>
                      <c:ptCount val="1"/>
                      <c:pt idx="0">
                        <c:v>Morinaga Milk Industry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'Financial ratio'!$B$84:$E$84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'Financial ratio'!$B$86:$E$86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0.47</c:v>
                      </c:pt>
                      <c:pt idx="1">
                        <c:v>0.51</c:v>
                      </c:pt>
                      <c:pt idx="2">
                        <c:v>0.61</c:v>
                      </c:pt>
                      <c:pt idx="3">
                        <c:v>0.66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5AD-435E-AFBA-E6E66C948EB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ratio'!$A$87</c15:sqref>
                        </c15:formulaRef>
                      </c:ext>
                    </c:extLst>
                    <c:strCache>
                      <c:ptCount val="1"/>
                      <c:pt idx="0">
                        <c:v>Hatsun Agro Product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ratio'!$B$84:$E$84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ratio'!$B$87:$E$87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0.14000000000000001</c:v>
                      </c:pt>
                      <c:pt idx="1">
                        <c:v>0.12</c:v>
                      </c:pt>
                      <c:pt idx="2">
                        <c:v>0.1</c:v>
                      </c:pt>
                      <c:pt idx="3">
                        <c:v>0.13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5AD-435E-AFBA-E6E66C948EB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ratio'!$A$88</c15:sqref>
                        </c15:formulaRef>
                      </c:ext>
                    </c:extLst>
                    <c:strCache>
                      <c:ptCount val="1"/>
                      <c:pt idx="0">
                        <c:v>Yakult Honsha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ratio'!$B$84:$E$84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ratio'!$B$88:$E$88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1.89</c:v>
                      </c:pt>
                      <c:pt idx="1">
                        <c:v>2.17</c:v>
                      </c:pt>
                      <c:pt idx="2">
                        <c:v>2.56</c:v>
                      </c:pt>
                      <c:pt idx="3">
                        <c:v>3.02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AD-435E-AFBA-E6E66C948EB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ratio'!$A$89</c15:sqref>
                        </c15:formulaRef>
                      </c:ext>
                    </c:extLst>
                    <c:strCache>
                      <c:ptCount val="1"/>
                      <c:pt idx="0">
                        <c:v>Bright Dairy &amp; Food Co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ratio'!$B$84:$E$84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ratio'!$B$89:$E$89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0.6</c:v>
                      </c:pt>
                      <c:pt idx="1">
                        <c:v>0.68</c:v>
                      </c:pt>
                      <c:pt idx="2">
                        <c:v>0.7</c:v>
                      </c:pt>
                      <c:pt idx="3">
                        <c:v>0.53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AD-435E-AFBA-E6E66C948EB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ratio'!$A$90</c15:sqref>
                        </c15:formulaRef>
                      </c:ext>
                    </c:extLst>
                    <c:strCache>
                      <c:ptCount val="1"/>
                      <c:pt idx="0">
                        <c:v>China Feihe Ltd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ratio'!$B$84:$E$84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'Financial ratio'!$B$90:$E$90</c15:sqref>
                        </c15:formulaRef>
                      </c:ext>
                    </c:extLst>
                    <c:numCache>
                      <c:formatCode>#,##0.000_);[Red]\(#,##0.000\)</c:formatCode>
                      <c:ptCount val="4"/>
                      <c:pt idx="0">
                        <c:v>2.23</c:v>
                      </c:pt>
                      <c:pt idx="1">
                        <c:v>2.4300000000000002</c:v>
                      </c:pt>
                      <c:pt idx="2">
                        <c:v>2.63</c:v>
                      </c:pt>
                      <c:pt idx="3">
                        <c:v>2.71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AD-435E-AFBA-E6E66C948EB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6"/>
          <c:order val="6"/>
          <c:tx>
            <c:strRef>
              <c:f>'Financial ratio'!$A$91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ratio'!$B$84:$E$84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ratio'!$B$91:$E$91</c:f>
              <c:numCache>
                <c:formatCode>#,##0.000_);[Red]\(#,##0.000\)</c:formatCode>
                <c:ptCount val="4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AD-435E-AFBA-E6E66C948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976240"/>
        <c:axId val="559787408"/>
      </c:lineChart>
      <c:catAx>
        <c:axId val="49197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9787408"/>
        <c:crosses val="autoZero"/>
        <c:auto val="1"/>
        <c:lblAlgn val="ctr"/>
        <c:lblOffset val="100"/>
        <c:noMultiLvlLbl val="0"/>
      </c:catAx>
      <c:valAx>
        <c:axId val="559787408"/>
        <c:scaling>
          <c:orientation val="minMax"/>
        </c:scaling>
        <c:delete val="0"/>
        <c:axPos val="l"/>
        <c:numFmt formatCode="#,##0.000_);[Red]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197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ratio'!$J$150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ratio'!$K$150:$N$150</c:f>
              <c:numCache>
                <c:formatCode>General</c:formatCode>
                <c:ptCount val="4"/>
                <c:pt idx="0">
                  <c:v>1.63</c:v>
                </c:pt>
                <c:pt idx="1">
                  <c:v>1.55</c:v>
                </c:pt>
                <c:pt idx="2">
                  <c:v>1.61</c:v>
                </c:pt>
                <c:pt idx="3">
                  <c:v>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B-448F-A85E-DA4F307FAC9E}"/>
            </c:ext>
          </c:extLst>
        </c:ser>
        <c:ser>
          <c:idx val="1"/>
          <c:order val="1"/>
          <c:tx>
            <c:strRef>
              <c:f>'Financial ratio'!$J$151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ratio'!$K$151:$N$151</c:f>
              <c:numCache>
                <c:formatCode>General</c:formatCode>
                <c:ptCount val="4"/>
                <c:pt idx="0">
                  <c:v>2.58</c:v>
                </c:pt>
                <c:pt idx="1">
                  <c:v>2.4</c:v>
                </c:pt>
                <c:pt idx="2">
                  <c:v>2.27</c:v>
                </c:pt>
                <c:pt idx="3">
                  <c:v>2.23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CB-448F-A85E-DA4F307FAC9E}"/>
            </c:ext>
          </c:extLst>
        </c:ser>
        <c:ser>
          <c:idx val="2"/>
          <c:order val="2"/>
          <c:tx>
            <c:strRef>
              <c:f>'Financial ratio'!$J$152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ratio'!$K$152:$N$152</c:f>
              <c:numCache>
                <c:formatCode>General</c:formatCode>
                <c:ptCount val="4"/>
                <c:pt idx="0">
                  <c:v>2.79</c:v>
                </c:pt>
                <c:pt idx="1">
                  <c:v>3</c:v>
                </c:pt>
                <c:pt idx="2">
                  <c:v>3.05</c:v>
                </c:pt>
                <c:pt idx="3">
                  <c:v>3.19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CB-448F-A85E-DA4F307FAC9E}"/>
            </c:ext>
          </c:extLst>
        </c:ser>
        <c:ser>
          <c:idx val="3"/>
          <c:order val="3"/>
          <c:tx>
            <c:strRef>
              <c:f>'Financial ratio'!$J$153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ratio'!$K$153:$N$153</c:f>
              <c:numCache>
                <c:formatCode>General</c:formatCode>
                <c:ptCount val="4"/>
                <c:pt idx="0">
                  <c:v>1.73</c:v>
                </c:pt>
                <c:pt idx="1">
                  <c:v>1.68</c:v>
                </c:pt>
                <c:pt idx="2">
                  <c:v>1.57</c:v>
                </c:pt>
                <c:pt idx="3">
                  <c:v>1.51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CB-448F-A85E-DA4F307FAC9E}"/>
            </c:ext>
          </c:extLst>
        </c:ser>
        <c:ser>
          <c:idx val="4"/>
          <c:order val="4"/>
          <c:tx>
            <c:strRef>
              <c:f>'Financial ratio'!$J$154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ratio'!$K$154:$N$154</c:f>
              <c:numCache>
                <c:formatCode>General</c:formatCode>
                <c:ptCount val="4"/>
                <c:pt idx="0">
                  <c:v>3.08</c:v>
                </c:pt>
                <c:pt idx="1">
                  <c:v>3.2</c:v>
                </c:pt>
                <c:pt idx="2">
                  <c:v>2.98</c:v>
                </c:pt>
                <c:pt idx="3">
                  <c:v>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CB-448F-A85E-DA4F307FAC9E}"/>
            </c:ext>
          </c:extLst>
        </c:ser>
        <c:ser>
          <c:idx val="5"/>
          <c:order val="5"/>
          <c:tx>
            <c:strRef>
              <c:f>'Financial ratio'!$J$155</c:f>
              <c:strCache>
                <c:ptCount val="1"/>
                <c:pt idx="0">
                  <c:v>China Feihe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ratio'!$K$155:$N$155</c:f>
              <c:numCache>
                <c:formatCode>General</c:formatCode>
                <c:ptCount val="4"/>
                <c:pt idx="0">
                  <c:v>1.77</c:v>
                </c:pt>
                <c:pt idx="1">
                  <c:v>1.6</c:v>
                </c:pt>
                <c:pt idx="2">
                  <c:v>1.5</c:v>
                </c:pt>
                <c:pt idx="3">
                  <c:v>1.48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CB-448F-A85E-DA4F307F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8176688"/>
        <c:axId val="757405728"/>
      </c:barChart>
      <c:lineChart>
        <c:grouping val="standard"/>
        <c:varyColors val="0"/>
        <c:ser>
          <c:idx val="6"/>
          <c:order val="6"/>
          <c:tx>
            <c:strRef>
              <c:f>'Financial ratio'!$J$156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ratio'!$K$149:$N$149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ratio'!$K$156:$N$156</c:f>
              <c:numCache>
                <c:formatCode>0.00</c:formatCode>
                <c:ptCount val="4"/>
                <c:pt idx="0">
                  <c:v>2.9586499772293058</c:v>
                </c:pt>
                <c:pt idx="1">
                  <c:v>2.8947607554262631</c:v>
                </c:pt>
                <c:pt idx="2">
                  <c:v>2.8004318339204772</c:v>
                </c:pt>
                <c:pt idx="3">
                  <c:v>2.8049999999999997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CB-448F-A85E-DA4F307F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76688"/>
        <c:axId val="757405728"/>
      </c:lineChart>
      <c:catAx>
        <c:axId val="54817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405728"/>
        <c:crosses val="autoZero"/>
        <c:auto val="1"/>
        <c:lblAlgn val="ctr"/>
        <c:lblOffset val="100"/>
        <c:noMultiLvlLbl val="0"/>
      </c:catAx>
      <c:valAx>
        <c:axId val="75740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817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ratio'!$A$142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ratio'!$B$142:$E$142</c:f>
              <c:numCache>
                <c:formatCode>#,##0.000_);[Red]\(#,##0.000\)</c:formatCode>
                <c:ptCount val="4"/>
                <c:pt idx="0">
                  <c:v>0.187</c:v>
                </c:pt>
                <c:pt idx="1">
                  <c:v>0.188</c:v>
                </c:pt>
                <c:pt idx="2">
                  <c:v>0.17499999999999999</c:v>
                </c:pt>
                <c:pt idx="3">
                  <c:v>0.14299999999999999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0-4FA3-9465-DC8F2F917EDB}"/>
            </c:ext>
          </c:extLst>
        </c:ser>
        <c:ser>
          <c:idx val="1"/>
          <c:order val="1"/>
          <c:tx>
            <c:strRef>
              <c:f>'Financial ratio'!$A$143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ratio'!$B$143:$E$143</c:f>
              <c:numCache>
                <c:formatCode>#,##0.000_);[Red]\(#,##0.000\)</c:formatCode>
                <c:ptCount val="4"/>
                <c:pt idx="0">
                  <c:v>2.4E-2</c:v>
                </c:pt>
                <c:pt idx="1">
                  <c:v>3.2000000000000001E-2</c:v>
                </c:pt>
                <c:pt idx="2">
                  <c:v>3.2000000000000001E-2</c:v>
                </c:pt>
                <c:pt idx="3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0-4FA3-9465-DC8F2F917EDB}"/>
            </c:ext>
          </c:extLst>
        </c:ser>
        <c:ser>
          <c:idx val="2"/>
          <c:order val="2"/>
          <c:tx>
            <c:strRef>
              <c:f>'Financial ratio'!$A$144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ratio'!$B$144:$E$144</c:f>
              <c:numCache>
                <c:formatCode>#,##0.000_);[Red]\(#,##0.000\)</c:formatCode>
                <c:ptCount val="4"/>
                <c:pt idx="0">
                  <c:v>2.4E-2</c:v>
                </c:pt>
                <c:pt idx="1">
                  <c:v>2.1000000000000001E-2</c:v>
                </c:pt>
                <c:pt idx="2">
                  <c:v>4.9000000000000002E-2</c:v>
                </c:pt>
                <c:pt idx="3">
                  <c:v>3.9E-2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0-4FA3-9465-DC8F2F917EDB}"/>
            </c:ext>
          </c:extLst>
        </c:ser>
        <c:ser>
          <c:idx val="3"/>
          <c:order val="3"/>
          <c:tx>
            <c:strRef>
              <c:f>'Financial ratio'!$A$145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ratio'!$B$145:$E$145</c:f>
              <c:numCache>
                <c:formatCode>#,##0.000_);[Red]\(#,##0.000\)</c:formatCode>
                <c:ptCount val="4"/>
                <c:pt idx="0">
                  <c:v>9.9000000000000005E-2</c:v>
                </c:pt>
                <c:pt idx="1">
                  <c:v>0.11</c:v>
                </c:pt>
                <c:pt idx="2">
                  <c:v>0.113</c:v>
                </c:pt>
                <c:pt idx="3">
                  <c:v>0.11899999999999999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20-4FA3-9465-DC8F2F917EDB}"/>
            </c:ext>
          </c:extLst>
        </c:ser>
        <c:ser>
          <c:idx val="4"/>
          <c:order val="4"/>
          <c:tx>
            <c:strRef>
              <c:f>'Financial ratio'!$A$146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ratio'!$B$146:$E$146</c:f>
              <c:numCache>
                <c:formatCode>#,##0.000_);[Red]\(#,##0.000\)</c:formatCode>
                <c:ptCount val="4"/>
                <c:pt idx="0">
                  <c:v>0.03</c:v>
                </c:pt>
                <c:pt idx="1">
                  <c:v>3.1E-2</c:v>
                </c:pt>
                <c:pt idx="2">
                  <c:v>1.9E-2</c:v>
                </c:pt>
                <c:pt idx="3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20-4FA3-9465-DC8F2F917EDB}"/>
            </c:ext>
          </c:extLst>
        </c:ser>
        <c:ser>
          <c:idx val="5"/>
          <c:order val="5"/>
          <c:tx>
            <c:strRef>
              <c:f>'Financial ratio'!$A$147</c:f>
              <c:strCache>
                <c:ptCount val="1"/>
                <c:pt idx="0">
                  <c:v>China Feihe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ratio'!$B$147:$E$147</c:f>
              <c:numCache>
                <c:formatCode>#,##0.000_);[Red]\(#,##0.000\)</c:formatCode>
                <c:ptCount val="4"/>
                <c:pt idx="0">
                  <c:v>0.28699999999999998</c:v>
                </c:pt>
                <c:pt idx="1">
                  <c:v>0.4</c:v>
                </c:pt>
                <c:pt idx="2">
                  <c:v>0.30399999999999999</c:v>
                </c:pt>
                <c:pt idx="3">
                  <c:v>0.23200000000000001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20-4FA3-9465-DC8F2F91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90789472"/>
        <c:axId val="806016992"/>
      </c:barChart>
      <c:lineChart>
        <c:grouping val="standard"/>
        <c:varyColors val="0"/>
        <c:ser>
          <c:idx val="6"/>
          <c:order val="6"/>
          <c:tx>
            <c:strRef>
              <c:f>'Financial ratio'!$A$148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ratio'!$B$141:$E$141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ratio'!$B$148:$E$148</c:f>
              <c:numCache>
                <c:formatCode>#,##0.000_);[Red]\(#,##0.000\)</c:formatCode>
                <c:ptCount val="4"/>
                <c:pt idx="0">
                  <c:v>7.2000000000000008E-2</c:v>
                </c:pt>
                <c:pt idx="1">
                  <c:v>7.9000000000000001E-2</c:v>
                </c:pt>
                <c:pt idx="2">
                  <c:v>7.8E-2</c:v>
                </c:pt>
                <c:pt idx="3">
                  <c:v>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20-4FA3-9465-DC8F2F91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789472"/>
        <c:axId val="806016992"/>
      </c:lineChart>
      <c:catAx>
        <c:axId val="49078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6016992"/>
        <c:crosses val="autoZero"/>
        <c:auto val="1"/>
        <c:lblAlgn val="ctr"/>
        <c:lblOffset val="100"/>
        <c:noMultiLvlLbl val="0"/>
      </c:catAx>
      <c:valAx>
        <c:axId val="806016992"/>
        <c:scaling>
          <c:orientation val="minMax"/>
        </c:scaling>
        <c:delete val="0"/>
        <c:axPos val="l"/>
        <c:numFmt formatCode="#,##0.000_);[Red]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9078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ratio'!$A$162</c:f>
              <c:strCache>
                <c:ptCount val="1"/>
                <c:pt idx="0">
                  <c:v>Vietnam Dairy Products JSC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ratio'!$B$162:$E$162</c:f>
              <c:numCache>
                <c:formatCode>#,##0.000_);[Red]\(#,##0.000\)</c:formatCode>
                <c:ptCount val="4"/>
                <c:pt idx="0">
                  <c:v>0.39700000000000002</c:v>
                </c:pt>
                <c:pt idx="1">
                  <c:v>0.378</c:v>
                </c:pt>
                <c:pt idx="2">
                  <c:v>0.32700000000000001</c:v>
                </c:pt>
                <c:pt idx="3">
                  <c:v>0.27100000000000002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C-4828-A16D-AA540D9F489D}"/>
            </c:ext>
          </c:extLst>
        </c:ser>
        <c:ser>
          <c:idx val="1"/>
          <c:order val="1"/>
          <c:tx>
            <c:strRef>
              <c:f>'Financial ratio'!$A$163</c:f>
              <c:strCache>
                <c:ptCount val="1"/>
                <c:pt idx="0">
                  <c:v>Morinaga Milk Industry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ratio'!$B$163:$E$163</c:f>
              <c:numCache>
                <c:formatCode>#,##0.000_);[Red]\(#,##0.000\)</c:formatCode>
                <c:ptCount val="4"/>
                <c:pt idx="0">
                  <c:v>8.5999999999999993E-2</c:v>
                </c:pt>
                <c:pt idx="1">
                  <c:v>0.107</c:v>
                </c:pt>
                <c:pt idx="2">
                  <c:v>9.8000000000000004E-2</c:v>
                </c:pt>
                <c:pt idx="3">
                  <c:v>0.16700000000000001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C-4828-A16D-AA540D9F489D}"/>
            </c:ext>
          </c:extLst>
        </c:ser>
        <c:ser>
          <c:idx val="2"/>
          <c:order val="2"/>
          <c:tx>
            <c:strRef>
              <c:f>'Financial ratio'!$A$164</c:f>
              <c:strCache>
                <c:ptCount val="1"/>
                <c:pt idx="0">
                  <c:v>Hatsun Agro Product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ratio'!$B$164:$E$164</c:f>
              <c:numCache>
                <c:formatCode>#,##0.000_);[Red]\(#,##0.000\)</c:formatCode>
                <c:ptCount val="4"/>
                <c:pt idx="0">
                  <c:v>0.19600000000000001</c:v>
                </c:pt>
                <c:pt idx="1">
                  <c:v>0.13100000000000001</c:v>
                </c:pt>
                <c:pt idx="2">
                  <c:v>0.28399999999999997</c:v>
                </c:pt>
                <c:pt idx="3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C-4828-A16D-AA540D9F489D}"/>
            </c:ext>
          </c:extLst>
        </c:ser>
        <c:ser>
          <c:idx val="3"/>
          <c:order val="3"/>
          <c:tx>
            <c:strRef>
              <c:f>'Financial ratio'!$A$165</c:f>
              <c:strCache>
                <c:ptCount val="1"/>
                <c:pt idx="0">
                  <c:v>Yakult Honsha Co Ltd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ratio'!$B$165:$E$165</c:f>
              <c:numCache>
                <c:formatCode>#,##0.000_);[Red]\(#,##0.000\)</c:formatCode>
                <c:ptCount val="4"/>
                <c:pt idx="0">
                  <c:v>9.8000000000000004E-2</c:v>
                </c:pt>
                <c:pt idx="1">
                  <c:v>0.109</c:v>
                </c:pt>
                <c:pt idx="2">
                  <c:v>0.10100000000000001</c:v>
                </c:pt>
                <c:pt idx="3">
                  <c:v>0.106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C-4828-A16D-AA540D9F489D}"/>
            </c:ext>
          </c:extLst>
        </c:ser>
        <c:ser>
          <c:idx val="4"/>
          <c:order val="4"/>
          <c:tx>
            <c:strRef>
              <c:f>'Financial ratio'!$A$166</c:f>
              <c:strCache>
                <c:ptCount val="1"/>
                <c:pt idx="0">
                  <c:v>Bright Dairy &amp; Food Co Ltd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ratio'!$B$166:$E$166</c:f>
              <c:numCache>
                <c:formatCode>#,##0.000_);[Red]\(#,##0.000\)</c:formatCode>
                <c:ptCount val="4"/>
                <c:pt idx="0">
                  <c:v>0.09</c:v>
                </c:pt>
                <c:pt idx="1">
                  <c:v>0.10100000000000001</c:v>
                </c:pt>
                <c:pt idx="2">
                  <c:v>8.4000000000000005E-2</c:v>
                </c:pt>
                <c:pt idx="3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4C-4828-A16D-AA540D9F489D}"/>
            </c:ext>
          </c:extLst>
        </c:ser>
        <c:ser>
          <c:idx val="5"/>
          <c:order val="5"/>
          <c:tx>
            <c:strRef>
              <c:f>'Financial ratio'!$A$167</c:f>
              <c:strCache>
                <c:ptCount val="1"/>
                <c:pt idx="0">
                  <c:v>China Feihe Ltd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ratio'!$B$167:$E$167</c:f>
              <c:numCache>
                <c:formatCode>#,##0.000_);[Red]\(#,##0.000\)</c:formatCode>
                <c:ptCount val="4"/>
                <c:pt idx="0">
                  <c:v>0.41799999999999998</c:v>
                </c:pt>
                <c:pt idx="1">
                  <c:v>0.48299999999999998</c:v>
                </c:pt>
                <c:pt idx="2">
                  <c:v>0.35499999999999998</c:v>
                </c:pt>
                <c:pt idx="3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4C-4828-A16D-AA540D9F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77381440"/>
        <c:axId val="677379280"/>
      </c:barChart>
      <c:lineChart>
        <c:grouping val="standard"/>
        <c:varyColors val="0"/>
        <c:ser>
          <c:idx val="6"/>
          <c:order val="6"/>
          <c:tx>
            <c:strRef>
              <c:f>'Financial ratio'!$A$168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ratio'!$B$161:$E$161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ratio'!$B$168:$E$168</c:f>
              <c:numCache>
                <c:formatCode>#,##0.000_);[Red]\(#,##0.000\)</c:formatCode>
                <c:ptCount val="4"/>
                <c:pt idx="0">
                  <c:v>8.6999999999999994E-2</c:v>
                </c:pt>
                <c:pt idx="1">
                  <c:v>9.8000000000000004E-2</c:v>
                </c:pt>
                <c:pt idx="2">
                  <c:v>8.4000000000000005E-2</c:v>
                </c:pt>
                <c:pt idx="3">
                  <c:v>9.5000000000000001E-2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4C-4828-A16D-AA540D9F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381440"/>
        <c:axId val="677379280"/>
      </c:lineChart>
      <c:catAx>
        <c:axId val="67738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7379280"/>
        <c:crosses val="autoZero"/>
        <c:auto val="1"/>
        <c:lblAlgn val="ctr"/>
        <c:lblOffset val="100"/>
        <c:noMultiLvlLbl val="0"/>
      </c:catAx>
      <c:valAx>
        <c:axId val="677379280"/>
        <c:scaling>
          <c:orientation val="minMax"/>
        </c:scaling>
        <c:delete val="0"/>
        <c:axPos val="l"/>
        <c:numFmt formatCode="#,##0.000_);[Red]\(#,##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73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'Financial ratio'!$H$143</c:f>
              <c:strCache>
                <c:ptCount val="1"/>
                <c:pt idx="0">
                  <c:v>Financial expenses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ratio'!$H$141:$K$141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ratio'!$I$143:$L$143</c:f>
              <c:numCache>
                <c:formatCode>General</c:formatCode>
                <c:ptCount val="4"/>
                <c:pt idx="0">
                  <c:v>186969.681828</c:v>
                </c:pt>
                <c:pt idx="1">
                  <c:v>308569.32883499999</c:v>
                </c:pt>
                <c:pt idx="2">
                  <c:v>202338.23223200001</c:v>
                </c:pt>
                <c:pt idx="3">
                  <c:v>617537.18299500004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3-4FFF-8836-161A78227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923752"/>
        <c:axId val="757917272"/>
      </c:lineChart>
      <c:lineChart>
        <c:grouping val="standard"/>
        <c:varyColors val="0"/>
        <c:ser>
          <c:idx val="0"/>
          <c:order val="0"/>
          <c:tx>
            <c:strRef>
              <c:f>'Financial ratio'!$H$142</c:f>
              <c:strCache>
                <c:ptCount val="1"/>
                <c:pt idx="0">
                  <c:v>NPM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ratio'!$H$141:$K$141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ratio'!$I$142:$L$142</c:f>
              <c:numCache>
                <c:formatCode>General</c:formatCode>
                <c:ptCount val="4"/>
                <c:pt idx="0">
                  <c:v>0.187</c:v>
                </c:pt>
                <c:pt idx="1">
                  <c:v>0.188</c:v>
                </c:pt>
                <c:pt idx="2">
                  <c:v>0.17499999999999999</c:v>
                </c:pt>
                <c:pt idx="3">
                  <c:v>0.14299999999999999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D3-4FFF-8836-161A78227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610424"/>
        <c:axId val="756611504"/>
      </c:lineChart>
      <c:catAx>
        <c:axId val="75792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917272"/>
        <c:crosses val="autoZero"/>
        <c:auto val="1"/>
        <c:lblAlgn val="ctr"/>
        <c:lblOffset val="100"/>
        <c:noMultiLvlLbl val="0"/>
      </c:catAx>
      <c:valAx>
        <c:axId val="75791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923752"/>
        <c:crosses val="autoZero"/>
        <c:crossBetween val="between"/>
      </c:valAx>
      <c:valAx>
        <c:axId val="7566115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6610424"/>
        <c:crosses val="max"/>
        <c:crossBetween val="between"/>
      </c:valAx>
      <c:catAx>
        <c:axId val="756610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6611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ratio'!$A$202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'Financial ratio'!$B$201:$E$201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ratio'!$B$202:$E$202</c:f>
              <c:numCache>
                <c:formatCode>General</c:formatCode>
                <c:ptCount val="4"/>
                <c:pt idx="0">
                  <c:v>0.187</c:v>
                </c:pt>
                <c:pt idx="1">
                  <c:v>0.188</c:v>
                </c:pt>
                <c:pt idx="2">
                  <c:v>0.17499999999999999</c:v>
                </c:pt>
                <c:pt idx="3">
                  <c:v>0.14299999999999999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95-49FA-A79A-B8EBE8931604}"/>
            </c:ext>
          </c:extLst>
        </c:ser>
        <c:ser>
          <c:idx val="1"/>
          <c:order val="1"/>
          <c:tx>
            <c:strRef>
              <c:f>'Financial ratio'!$A$203</c:f>
              <c:strCache>
                <c:ptCount val="1"/>
                <c:pt idx="0">
                  <c:v>Leverage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'Financial ratio'!$B$201:$E$201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ratio'!$B$203:$E$203</c:f>
              <c:numCache>
                <c:formatCode>General</c:formatCode>
                <c:ptCount val="4"/>
                <c:pt idx="0">
                  <c:v>1.63</c:v>
                </c:pt>
                <c:pt idx="1">
                  <c:v>1.55</c:v>
                </c:pt>
                <c:pt idx="2">
                  <c:v>1.61</c:v>
                </c:pt>
                <c:pt idx="3">
                  <c:v>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95-49FA-A79A-B8EBE8931604}"/>
            </c:ext>
          </c:extLst>
        </c:ser>
        <c:ser>
          <c:idx val="2"/>
          <c:order val="2"/>
          <c:tx>
            <c:strRef>
              <c:f>'Financial ratio'!$A$204</c:f>
              <c:strCache>
                <c:ptCount val="1"/>
                <c:pt idx="0">
                  <c:v>Asset turnover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'Financial ratio'!$B$201:$E$201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ratio'!$B$204:$E$204</c:f>
              <c:numCache>
                <c:formatCode>General</c:formatCode>
                <c:ptCount val="4"/>
                <c:pt idx="0">
                  <c:v>1.37</c:v>
                </c:pt>
                <c:pt idx="1">
                  <c:v>1.28</c:v>
                </c:pt>
                <c:pt idx="2">
                  <c:v>1.2</c:v>
                </c:pt>
                <c:pt idx="3">
                  <c:v>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95-49FA-A79A-B8EBE8931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3238376"/>
        <c:axId val="763242696"/>
      </c:barChart>
      <c:lineChart>
        <c:grouping val="standard"/>
        <c:varyColors val="0"/>
        <c:ser>
          <c:idx val="3"/>
          <c:order val="3"/>
          <c:tx>
            <c:strRef>
              <c:f>'Financial ratio'!$A$205</c:f>
              <c:strCache>
                <c:ptCount val="1"/>
                <c:pt idx="0">
                  <c:v>ROE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'Financial ratio'!$B$201:$E$201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ratio'!$B$205:$E$205</c:f>
              <c:numCache>
                <c:formatCode>General</c:formatCode>
                <c:ptCount val="4"/>
                <c:pt idx="0">
                  <c:v>0.39700000000000002</c:v>
                </c:pt>
                <c:pt idx="1">
                  <c:v>0.378</c:v>
                </c:pt>
                <c:pt idx="2">
                  <c:v>0.32700000000000001</c:v>
                </c:pt>
                <c:pt idx="3">
                  <c:v>0.27100000000000002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95-49FA-A79A-B8EBE8931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3238376"/>
        <c:axId val="763242696"/>
      </c:lineChart>
      <c:catAx>
        <c:axId val="763238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42696"/>
        <c:crosses val="autoZero"/>
        <c:auto val="1"/>
        <c:lblAlgn val="ctr"/>
        <c:lblOffset val="100"/>
        <c:noMultiLvlLbl val="0"/>
      </c:catAx>
      <c:valAx>
        <c:axId val="76324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238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'Financial ratio'!$J$164</c:f>
              <c:strCache>
                <c:ptCount val="1"/>
                <c:pt idx="0">
                  <c:v>WMP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ratio'!$K$162:$N$162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ratio'!$K$164:$N$164</c:f>
              <c:numCache>
                <c:formatCode>_(* #,##0_);_(* \(#,##0\);_(* "-"??_);_(@_)</c:formatCode>
                <c:ptCount val="4"/>
                <c:pt idx="0">
                  <c:v>3100</c:v>
                </c:pt>
                <c:pt idx="1">
                  <c:v>3000</c:v>
                </c:pt>
                <c:pt idx="2">
                  <c:v>3800</c:v>
                </c:pt>
                <c:pt idx="3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8-4CC2-ADBD-E1AA4D6F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137040"/>
        <c:axId val="375790495"/>
      </c:lineChart>
      <c:lineChart>
        <c:grouping val="standard"/>
        <c:varyColors val="0"/>
        <c:ser>
          <c:idx val="0"/>
          <c:order val="0"/>
          <c:tx>
            <c:strRef>
              <c:f>'Financial ratio'!$J$163</c:f>
              <c:strCache>
                <c:ptCount val="1"/>
                <c:pt idx="0">
                  <c:v>GPM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ratio'!$K$162:$N$162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ratio'!$K$163:$N$163</c:f>
              <c:numCache>
                <c:formatCode>0%</c:formatCode>
                <c:ptCount val="4"/>
                <c:pt idx="0">
                  <c:v>0.47199999999999998</c:v>
                </c:pt>
                <c:pt idx="1">
                  <c:v>0.46400000000000002</c:v>
                </c:pt>
                <c:pt idx="2">
                  <c:v>0.43099999999999999</c:v>
                </c:pt>
                <c:pt idx="3">
                  <c:v>0.39900000000000002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8-4CC2-ADBD-E1AA4D6F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693648"/>
        <c:axId val="1601737727"/>
      </c:lineChart>
      <c:catAx>
        <c:axId val="117213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790495"/>
        <c:crosses val="autoZero"/>
        <c:auto val="1"/>
        <c:lblAlgn val="ctr"/>
        <c:lblOffset val="100"/>
        <c:noMultiLvlLbl val="0"/>
      </c:catAx>
      <c:valAx>
        <c:axId val="375790495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37040"/>
        <c:crosses val="autoZero"/>
        <c:crossBetween val="between"/>
      </c:valAx>
      <c:valAx>
        <c:axId val="1601737727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693648"/>
        <c:crosses val="max"/>
        <c:crossBetween val="between"/>
      </c:valAx>
      <c:catAx>
        <c:axId val="1229693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17377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ratio'!$G$107</c:f>
              <c:strCache>
                <c:ptCount val="1"/>
                <c:pt idx="0">
                  <c:v>A/T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ratio'!$H$106:$K$106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ratio'!$H$107:$K$107</c:f>
              <c:numCache>
                <c:formatCode>0.00</c:formatCode>
                <c:ptCount val="4"/>
                <c:pt idx="0">
                  <c:v>1.37</c:v>
                </c:pt>
                <c:pt idx="1">
                  <c:v>1.28</c:v>
                </c:pt>
                <c:pt idx="2">
                  <c:v>1.2</c:v>
                </c:pt>
                <c:pt idx="3">
                  <c:v>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0-4923-8C36-56789AACD252}"/>
            </c:ext>
          </c:extLst>
        </c:ser>
        <c:ser>
          <c:idx val="1"/>
          <c:order val="1"/>
          <c:tx>
            <c:strRef>
              <c:f>'Financial ratio'!$G$108</c:f>
              <c:strCache>
                <c:ptCount val="1"/>
                <c:pt idx="0">
                  <c:v>Fixed A/T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'Financial ratio'!$H$106:$K$106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ratio'!$H$108:$K$108</c:f>
              <c:numCache>
                <c:formatCode>0.00</c:formatCode>
                <c:ptCount val="4"/>
                <c:pt idx="0">
                  <c:v>2.8189635979183021</c:v>
                </c:pt>
                <c:pt idx="1">
                  <c:v>3.1777622716340677</c:v>
                </c:pt>
                <c:pt idx="2">
                  <c:v>3.5371864303957872</c:v>
                </c:pt>
                <c:pt idx="3">
                  <c:v>3.5430355669524949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E0-4923-8C36-56789AACD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1390287"/>
        <c:axId val="755178816"/>
      </c:barChart>
      <c:lineChart>
        <c:grouping val="standard"/>
        <c:varyColors val="0"/>
        <c:ser>
          <c:idx val="2"/>
          <c:order val="2"/>
          <c:tx>
            <c:strRef>
              <c:f>'Financial ratio'!$G$109</c:f>
              <c:strCache>
                <c:ptCount val="1"/>
                <c:pt idx="0">
                  <c:v>Industry Median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'Financial ratio'!$H$106:$K$106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'Financial ratio'!$H$109:$K$109</c:f>
              <c:numCache>
                <c:formatCode>0.00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E0-4923-8C36-56789AACD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1390287"/>
        <c:axId val="755178816"/>
      </c:lineChart>
      <c:catAx>
        <c:axId val="133139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178816"/>
        <c:crosses val="autoZero"/>
        <c:auto val="1"/>
        <c:lblAlgn val="ctr"/>
        <c:lblOffset val="100"/>
        <c:noMultiLvlLbl val="0"/>
      </c:catAx>
      <c:valAx>
        <c:axId val="755178816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39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CAPM!$G$2</c:f>
              <c:strCache>
                <c:ptCount val="1"/>
                <c:pt idx="0">
                  <c:v>VNM - rf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CAPM!$G$3:$G$63</c:f>
              <c:numCache>
                <c:formatCode>0.000%</c:formatCode>
                <c:ptCount val="61"/>
                <c:pt idx="0">
                  <c:v>2.1662205736894095E-2</c:v>
                </c:pt>
                <c:pt idx="1">
                  <c:v>-1.0895196078431341E-2</c:v>
                </c:pt>
                <c:pt idx="2">
                  <c:v>-8.6113784815813138E-2</c:v>
                </c:pt>
                <c:pt idx="3">
                  <c:v>-4.8637493573264794E-2</c:v>
                </c:pt>
                <c:pt idx="4">
                  <c:v>-4.8282692307692211E-3</c:v>
                </c:pt>
                <c:pt idx="5">
                  <c:v>9.6457382629108065E-2</c:v>
                </c:pt>
                <c:pt idx="6">
                  <c:v>7.1840939233484682E-2</c:v>
                </c:pt>
                <c:pt idx="7">
                  <c:v>-5.8439285714285714E-2</c:v>
                </c:pt>
                <c:pt idx="8">
                  <c:v>-6.1942284946236506E-2</c:v>
                </c:pt>
                <c:pt idx="9">
                  <c:v>-1.7460369757174399E-2</c:v>
                </c:pt>
                <c:pt idx="10">
                  <c:v>-2.4528936446173839E-2</c:v>
                </c:pt>
                <c:pt idx="11">
                  <c:v>9.2747711344721828E-3</c:v>
                </c:pt>
                <c:pt idx="12">
                  <c:v>-6.8687456482187242E-2</c:v>
                </c:pt>
                <c:pt idx="13">
                  <c:v>5.0480707330039724E-2</c:v>
                </c:pt>
                <c:pt idx="14">
                  <c:v>8.1424165610774743E-2</c:v>
                </c:pt>
                <c:pt idx="15">
                  <c:v>-4.6566820179577736E-2</c:v>
                </c:pt>
                <c:pt idx="16">
                  <c:v>3.402650036352961E-2</c:v>
                </c:pt>
                <c:pt idx="17">
                  <c:v>3.9964014796883232E-2</c:v>
                </c:pt>
                <c:pt idx="18">
                  <c:v>4.1685748969621638E-3</c:v>
                </c:pt>
                <c:pt idx="19">
                  <c:v>-3.640834997091083E-2</c:v>
                </c:pt>
                <c:pt idx="20">
                  <c:v>-8.5398577359571057E-2</c:v>
                </c:pt>
                <c:pt idx="21">
                  <c:v>2.9816200455713527E-2</c:v>
                </c:pt>
                <c:pt idx="22">
                  <c:v>-5.8509308719560053E-2</c:v>
                </c:pt>
                <c:pt idx="23">
                  <c:v>-2.3930560263653436E-2</c:v>
                </c:pt>
                <c:pt idx="24">
                  <c:v>-1.5448630136986356E-2</c:v>
                </c:pt>
                <c:pt idx="25">
                  <c:v>-3.5914560717109814E-2</c:v>
                </c:pt>
                <c:pt idx="26">
                  <c:v>1.0518479309287404E-2</c:v>
                </c:pt>
                <c:pt idx="27">
                  <c:v>4.1109489403057566E-2</c:v>
                </c:pt>
                <c:pt idx="28">
                  <c:v>1.3355665433504084E-2</c:v>
                </c:pt>
                <c:pt idx="29">
                  <c:v>-4.9364456015451155E-2</c:v>
                </c:pt>
                <c:pt idx="30">
                  <c:v>-2.9066669674908778E-3</c:v>
                </c:pt>
                <c:pt idx="31">
                  <c:v>-3.3981285231772601E-2</c:v>
                </c:pt>
                <c:pt idx="32">
                  <c:v>-5.1728296812748958E-2</c:v>
                </c:pt>
                <c:pt idx="33">
                  <c:v>-6.3056321736961921E-2</c:v>
                </c:pt>
                <c:pt idx="34">
                  <c:v>1.7497245762711923E-2</c:v>
                </c:pt>
                <c:pt idx="35">
                  <c:v>-4.8346118226999045E-2</c:v>
                </c:pt>
                <c:pt idx="36">
                  <c:v>3.50346241747074E-3</c:v>
                </c:pt>
                <c:pt idx="37">
                  <c:v>-1.654220091993285E-4</c:v>
                </c:pt>
                <c:pt idx="38">
                  <c:v>-1.0410463683429729E-2</c:v>
                </c:pt>
                <c:pt idx="39">
                  <c:v>9.1921066264705406E-2</c:v>
                </c:pt>
                <c:pt idx="40">
                  <c:v>0.12845325709516556</c:v>
                </c:pt>
                <c:pt idx="41">
                  <c:v>-5.3050249612697234E-2</c:v>
                </c:pt>
                <c:pt idx="42">
                  <c:v>-9.672795523301676E-3</c:v>
                </c:pt>
                <c:pt idx="43">
                  <c:v>0.1589902132217543</c:v>
                </c:pt>
                <c:pt idx="44">
                  <c:v>8.5375979342080521E-2</c:v>
                </c:pt>
                <c:pt idx="45">
                  <c:v>-0.13212313853444735</c:v>
                </c:pt>
                <c:pt idx="46">
                  <c:v>-3.9248371802869615E-2</c:v>
                </c:pt>
                <c:pt idx="47">
                  <c:v>-7.1293030198274793E-2</c:v>
                </c:pt>
                <c:pt idx="48">
                  <c:v>-3.5773018698309941E-2</c:v>
                </c:pt>
                <c:pt idx="49">
                  <c:v>-6.8360129947418857E-2</c:v>
                </c:pt>
                <c:pt idx="50">
                  <c:v>-7.2499510516017178E-4</c:v>
                </c:pt>
                <c:pt idx="51">
                  <c:v>6.8649861244334087E-2</c:v>
                </c:pt>
                <c:pt idx="52">
                  <c:v>-5.0907040225029281E-3</c:v>
                </c:pt>
                <c:pt idx="53">
                  <c:v>-2.0449929470180359E-3</c:v>
                </c:pt>
                <c:pt idx="54">
                  <c:v>-4.2865428008531228E-2</c:v>
                </c:pt>
                <c:pt idx="55">
                  <c:v>-6.2329159092876325E-3</c:v>
                </c:pt>
                <c:pt idx="56">
                  <c:v>-4.1059514919153245E-2</c:v>
                </c:pt>
                <c:pt idx="57">
                  <c:v>-4.8673477655021349E-2</c:v>
                </c:pt>
                <c:pt idx="58">
                  <c:v>4.1228187223019887E-2</c:v>
                </c:pt>
                <c:pt idx="59">
                  <c:v>0.12093688878810938</c:v>
                </c:pt>
                <c:pt idx="60">
                  <c:v>-5.9190130576172173E-2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D9F8-4F57-8A02-97A55269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147152"/>
        <c:axId val="15402689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CAPM!$H$2</c15:sqref>
                        </c15:formulaRef>
                      </c:ext>
                    </c:extLst>
                    <c:strCache>
                      <c:ptCount val="1"/>
                      <c:pt idx="0">
                        <c:v>VNIndex - rf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0"/>
                </c:trendline>
                <c:trendline>
                  <c:spPr>
                    <a:ln w="19050" cap="rnd">
                      <a:solidFill>
                        <a:schemeClr val="accent1"/>
                      </a:solidFill>
                    </a:ln>
                    <a:effectLst/>
                  </c:spPr>
                  <c:trendlineType val="linear"/>
                  <c:dispRSqr val="0"/>
                  <c:dispEq val="1"/>
                  <c:trendlineLbl>
                    <c:layout>
                      <c:manualLayout>
                        <c:x val="-6.2980096237970254E-2"/>
                        <c:y val="0.66049650043744534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CAPM!$G$3:$G$63</c15:sqref>
                        </c15:formulaRef>
                      </c:ext>
                    </c:extLst>
                    <c:numCache>
                      <c:formatCode>0.000%</c:formatCode>
                      <c:ptCount val="61"/>
                      <c:pt idx="0">
                        <c:v>2.1662205736894095E-2</c:v>
                      </c:pt>
                      <c:pt idx="1">
                        <c:v>-1.0895196078431341E-2</c:v>
                      </c:pt>
                      <c:pt idx="2">
                        <c:v>-8.6113784815813138E-2</c:v>
                      </c:pt>
                      <c:pt idx="3">
                        <c:v>-4.8637493573264794E-2</c:v>
                      </c:pt>
                      <c:pt idx="4">
                        <c:v>-4.8282692307692211E-3</c:v>
                      </c:pt>
                      <c:pt idx="5">
                        <c:v>9.6457382629108065E-2</c:v>
                      </c:pt>
                      <c:pt idx="6">
                        <c:v>7.1840939233484682E-2</c:v>
                      </c:pt>
                      <c:pt idx="7">
                        <c:v>-5.8439285714285714E-2</c:v>
                      </c:pt>
                      <c:pt idx="8">
                        <c:v>-6.1942284946236506E-2</c:v>
                      </c:pt>
                      <c:pt idx="9">
                        <c:v>-1.7460369757174399E-2</c:v>
                      </c:pt>
                      <c:pt idx="10">
                        <c:v>-2.4528936446173839E-2</c:v>
                      </c:pt>
                      <c:pt idx="11">
                        <c:v>9.2747711344721828E-3</c:v>
                      </c:pt>
                      <c:pt idx="12">
                        <c:v>-6.8687456482187242E-2</c:v>
                      </c:pt>
                      <c:pt idx="13">
                        <c:v>5.0480707330039724E-2</c:v>
                      </c:pt>
                      <c:pt idx="14">
                        <c:v>8.1424165610774743E-2</c:v>
                      </c:pt>
                      <c:pt idx="15">
                        <c:v>-4.6566820179577736E-2</c:v>
                      </c:pt>
                      <c:pt idx="16">
                        <c:v>3.402650036352961E-2</c:v>
                      </c:pt>
                      <c:pt idx="17">
                        <c:v>3.9964014796883232E-2</c:v>
                      </c:pt>
                      <c:pt idx="18">
                        <c:v>4.1685748969621638E-3</c:v>
                      </c:pt>
                      <c:pt idx="19">
                        <c:v>-3.640834997091083E-2</c:v>
                      </c:pt>
                      <c:pt idx="20">
                        <c:v>-8.5398577359571057E-2</c:v>
                      </c:pt>
                      <c:pt idx="21">
                        <c:v>2.9816200455713527E-2</c:v>
                      </c:pt>
                      <c:pt idx="22">
                        <c:v>-5.8509308719560053E-2</c:v>
                      </c:pt>
                      <c:pt idx="23">
                        <c:v>-2.3930560263653436E-2</c:v>
                      </c:pt>
                      <c:pt idx="24">
                        <c:v>-1.5448630136986356E-2</c:v>
                      </c:pt>
                      <c:pt idx="25">
                        <c:v>-3.5914560717109814E-2</c:v>
                      </c:pt>
                      <c:pt idx="26">
                        <c:v>1.0518479309287404E-2</c:v>
                      </c:pt>
                      <c:pt idx="27">
                        <c:v>4.1109489403057566E-2</c:v>
                      </c:pt>
                      <c:pt idx="28">
                        <c:v>1.3355665433504084E-2</c:v>
                      </c:pt>
                      <c:pt idx="29">
                        <c:v>-4.9364456015451155E-2</c:v>
                      </c:pt>
                      <c:pt idx="30">
                        <c:v>-2.9066669674908778E-3</c:v>
                      </c:pt>
                      <c:pt idx="31">
                        <c:v>-3.3981285231772601E-2</c:v>
                      </c:pt>
                      <c:pt idx="32">
                        <c:v>-5.1728296812748958E-2</c:v>
                      </c:pt>
                      <c:pt idx="33">
                        <c:v>-6.3056321736961921E-2</c:v>
                      </c:pt>
                      <c:pt idx="34">
                        <c:v>1.7497245762711923E-2</c:v>
                      </c:pt>
                      <c:pt idx="35">
                        <c:v>-4.8346118226999045E-2</c:v>
                      </c:pt>
                      <c:pt idx="36">
                        <c:v>3.50346241747074E-3</c:v>
                      </c:pt>
                      <c:pt idx="37">
                        <c:v>-1.654220091993285E-4</c:v>
                      </c:pt>
                      <c:pt idx="38">
                        <c:v>-1.0410463683429729E-2</c:v>
                      </c:pt>
                      <c:pt idx="39">
                        <c:v>9.1921066264705406E-2</c:v>
                      </c:pt>
                      <c:pt idx="40">
                        <c:v>0.12845325709516556</c:v>
                      </c:pt>
                      <c:pt idx="41">
                        <c:v>-5.3050249612697234E-2</c:v>
                      </c:pt>
                      <c:pt idx="42">
                        <c:v>-9.672795523301676E-3</c:v>
                      </c:pt>
                      <c:pt idx="43">
                        <c:v>0.1589902132217543</c:v>
                      </c:pt>
                      <c:pt idx="44">
                        <c:v>8.5375979342080521E-2</c:v>
                      </c:pt>
                      <c:pt idx="45">
                        <c:v>-0.13212313853444735</c:v>
                      </c:pt>
                      <c:pt idx="46">
                        <c:v>-3.9248371802869615E-2</c:v>
                      </c:pt>
                      <c:pt idx="47">
                        <c:v>-7.1293030198274793E-2</c:v>
                      </c:pt>
                      <c:pt idx="48">
                        <c:v>-3.5773018698309941E-2</c:v>
                      </c:pt>
                      <c:pt idx="49">
                        <c:v>-6.8360129947418857E-2</c:v>
                      </c:pt>
                      <c:pt idx="50">
                        <c:v>-7.2499510516017178E-4</c:v>
                      </c:pt>
                      <c:pt idx="51">
                        <c:v>6.8649861244334087E-2</c:v>
                      </c:pt>
                      <c:pt idx="52">
                        <c:v>-5.0907040225029281E-3</c:v>
                      </c:pt>
                      <c:pt idx="53">
                        <c:v>-2.0449929470180359E-3</c:v>
                      </c:pt>
                      <c:pt idx="54">
                        <c:v>-4.2865428008531228E-2</c:v>
                      </c:pt>
                      <c:pt idx="55">
                        <c:v>-6.2329159092876325E-3</c:v>
                      </c:pt>
                      <c:pt idx="56">
                        <c:v>-4.1059514919153245E-2</c:v>
                      </c:pt>
                      <c:pt idx="57">
                        <c:v>-4.8673477655021349E-2</c:v>
                      </c:pt>
                      <c:pt idx="58">
                        <c:v>4.1228187223019887E-2</c:v>
                      </c:pt>
                      <c:pt idx="59">
                        <c:v>0.12093688878810938</c:v>
                      </c:pt>
                      <c:pt idx="60">
                        <c:v>-5.9190130576172173E-2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CAPM!$H$3:$H$63</c15:sqref>
                        </c15:formulaRef>
                      </c:ext>
                    </c:extLst>
                    <c:numCache>
                      <c:formatCode>0.00%</c:formatCode>
                      <c:ptCount val="61"/>
                      <c:pt idx="0">
                        <c:v>2.5625708736621681E-2</c:v>
                      </c:pt>
                      <c:pt idx="1">
                        <c:v>6.2060448992890455E-2</c:v>
                      </c:pt>
                      <c:pt idx="2">
                        <c:v>-0.11169242736357202</c:v>
                      </c:pt>
                      <c:pt idx="3">
                        <c:v>-5.9470510395817015E-2</c:v>
                      </c:pt>
                      <c:pt idx="4">
                        <c:v>-1.3237790634285534E-3</c:v>
                      </c:pt>
                      <c:pt idx="5">
                        <c:v>8.9565381620215864E-2</c:v>
                      </c:pt>
                      <c:pt idx="6">
                        <c:v>3.9573980556563144E-2</c:v>
                      </c:pt>
                      <c:pt idx="7">
                        <c:v>2.2105333994204869E-2</c:v>
                      </c:pt>
                      <c:pt idx="8">
                        <c:v>-1.7380197625488661E-2</c:v>
                      </c:pt>
                      <c:pt idx="9">
                        <c:v>3.6106707362298436E-2</c:v>
                      </c:pt>
                      <c:pt idx="10">
                        <c:v>-8.1621840265903481E-2</c:v>
                      </c:pt>
                      <c:pt idx="11">
                        <c:v>9.9491364136604768E-2</c:v>
                      </c:pt>
                      <c:pt idx="12">
                        <c:v>-4.3618724318498371E-2</c:v>
                      </c:pt>
                      <c:pt idx="13">
                        <c:v>1.5620008495956343E-2</c:v>
                      </c:pt>
                      <c:pt idx="14">
                        <c:v>-9.6342360238845973E-2</c:v>
                      </c:pt>
                      <c:pt idx="15">
                        <c:v>-0.12007132455037454</c:v>
                      </c:pt>
                      <c:pt idx="16">
                        <c:v>5.8424794811535952E-2</c:v>
                      </c:pt>
                      <c:pt idx="17">
                        <c:v>4.262912491650072E-3</c:v>
                      </c:pt>
                      <c:pt idx="18">
                        <c:v>-7.6359286031088033E-2</c:v>
                      </c:pt>
                      <c:pt idx="19">
                        <c:v>-5.6936355721392912E-2</c:v>
                      </c:pt>
                      <c:pt idx="20">
                        <c:v>-8.6592132968088584E-2</c:v>
                      </c:pt>
                      <c:pt idx="21">
                        <c:v>-7.1024690798794339E-4</c:v>
                      </c:pt>
                      <c:pt idx="22">
                        <c:v>5.6026045329150643E-3</c:v>
                      </c:pt>
                      <c:pt idx="23">
                        <c:v>-1.4697286021304339E-2</c:v>
                      </c:pt>
                      <c:pt idx="24">
                        <c:v>1.1669550336841502E-2</c:v>
                      </c:pt>
                      <c:pt idx="25">
                        <c:v>2.1924011126728524E-2</c:v>
                      </c:pt>
                      <c:pt idx="26">
                        <c:v>7.4395705755828212E-2</c:v>
                      </c:pt>
                      <c:pt idx="27">
                        <c:v>6.1769485105434936E-3</c:v>
                      </c:pt>
                      <c:pt idx="28">
                        <c:v>1.4604687639148796E-2</c:v>
                      </c:pt>
                      <c:pt idx="29">
                        <c:v>-7.172423659673656E-2</c:v>
                      </c:pt>
                      <c:pt idx="30">
                        <c:v>5.8803521014520008E-2</c:v>
                      </c:pt>
                      <c:pt idx="31">
                        <c:v>6.9641024031983439E-2</c:v>
                      </c:pt>
                      <c:pt idx="32">
                        <c:v>3.8317917310145638E-2</c:v>
                      </c:pt>
                      <c:pt idx="33">
                        <c:v>1.7669852157094303E-2</c:v>
                      </c:pt>
                      <c:pt idx="34">
                        <c:v>0.10390437614162282</c:v>
                      </c:pt>
                      <c:pt idx="35">
                        <c:v>-4.4733012401822668E-2</c:v>
                      </c:pt>
                      <c:pt idx="36">
                        <c:v>9.843801999840468E-2</c:v>
                      </c:pt>
                      <c:pt idx="37">
                        <c:v>8.1842592709650219E-2</c:v>
                      </c:pt>
                      <c:pt idx="38">
                        <c:v>2.0236546823388997E-2</c:v>
                      </c:pt>
                      <c:pt idx="39">
                        <c:v>2.4436789022476799E-2</c:v>
                      </c:pt>
                      <c:pt idx="40">
                        <c:v>0.10189070664086478</c:v>
                      </c:pt>
                      <c:pt idx="41">
                        <c:v>-3.4855227646414813E-2</c:v>
                      </c:pt>
                      <c:pt idx="42">
                        <c:v>-4.805828765023655E-2</c:v>
                      </c:pt>
                      <c:pt idx="43">
                        <c:v>0.12136579936550049</c:v>
                      </c:pt>
                      <c:pt idx="44">
                        <c:v>0.15832652043429496</c:v>
                      </c:pt>
                      <c:pt idx="45">
                        <c:v>-0.25192481422180413</c:v>
                      </c:pt>
                      <c:pt idx="46">
                        <c:v>-6.0493215605047897E-2</c:v>
                      </c:pt>
                      <c:pt idx="47">
                        <c:v>-2.7990098258046409E-2</c:v>
                      </c:pt>
                      <c:pt idx="48">
                        <c:v>-1.2869081895441658E-2</c:v>
                      </c:pt>
                      <c:pt idx="49">
                        <c:v>-3.107649506417582E-2</c:v>
                      </c:pt>
                      <c:pt idx="50">
                        <c:v>-7.7303209708041347E-4</c:v>
                      </c:pt>
                      <c:pt idx="51">
                        <c:v>9.321644157876563E-3</c:v>
                      </c:pt>
                      <c:pt idx="52">
                        <c:v>-1.1132250401683346E-2</c:v>
                      </c:pt>
                      <c:pt idx="53">
                        <c:v>4.0248563277680623E-2</c:v>
                      </c:pt>
                      <c:pt idx="54">
                        <c:v>-1.4233794432637297E-2</c:v>
                      </c:pt>
                      <c:pt idx="55">
                        <c:v>-2.4088174941815348E-2</c:v>
                      </c:pt>
                      <c:pt idx="56">
                        <c:v>-5.1119715322811279E-3</c:v>
                      </c:pt>
                      <c:pt idx="57">
                        <c:v>1.1813512969503549E-2</c:v>
                      </c:pt>
                      <c:pt idx="58">
                        <c:v>5.6236259128095469E-2</c:v>
                      </c:pt>
                      <c:pt idx="59">
                        <c:v>1.6222907152620647E-2</c:v>
                      </c:pt>
                      <c:pt idx="60">
                        <c:v>-4.3050000000000007E-3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9F8-4F57-8A02-97A552692C33}"/>
                  </c:ext>
                </c:extLst>
              </c15:ser>
            </c15:filteredScatterSeries>
          </c:ext>
        </c:extLst>
      </c:scatterChart>
      <c:valAx>
        <c:axId val="1948147152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268927"/>
        <c:crosses val="autoZero"/>
        <c:crossBetween val="midCat"/>
      </c:valAx>
      <c:valAx>
        <c:axId val="1540268927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14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CAPM!$G$68</c:f>
              <c:strCache>
                <c:ptCount val="1"/>
                <c:pt idx="0">
                  <c:v>VNM - rf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CAPM!$F$69:$F$129</c:f>
              <c:numCache>
                <c:formatCode>0.00%</c:formatCode>
                <c:ptCount val="61"/>
                <c:pt idx="0">
                  <c:v>2.5625708736621681E-2</c:v>
                </c:pt>
                <c:pt idx="1">
                  <c:v>6.2060448992890455E-2</c:v>
                </c:pt>
                <c:pt idx="2">
                  <c:v>-0.11169242736357202</c:v>
                </c:pt>
                <c:pt idx="3">
                  <c:v>-5.9470510395817015E-2</c:v>
                </c:pt>
                <c:pt idx="4">
                  <c:v>-1.3237790634285534E-3</c:v>
                </c:pt>
                <c:pt idx="5">
                  <c:v>8.9565381620215864E-2</c:v>
                </c:pt>
                <c:pt idx="6">
                  <c:v>3.9573980556563144E-2</c:v>
                </c:pt>
                <c:pt idx="7">
                  <c:v>2.2105333994204869E-2</c:v>
                </c:pt>
                <c:pt idx="8">
                  <c:v>-1.7380197625488661E-2</c:v>
                </c:pt>
                <c:pt idx="9">
                  <c:v>3.6106707362298436E-2</c:v>
                </c:pt>
                <c:pt idx="10">
                  <c:v>-8.1621840265903481E-2</c:v>
                </c:pt>
                <c:pt idx="11">
                  <c:v>9.9491364136604768E-2</c:v>
                </c:pt>
                <c:pt idx="12">
                  <c:v>-4.3618724318498371E-2</c:v>
                </c:pt>
                <c:pt idx="13">
                  <c:v>1.5620008495956343E-2</c:v>
                </c:pt>
                <c:pt idx="14">
                  <c:v>-9.6342360238845973E-2</c:v>
                </c:pt>
                <c:pt idx="15">
                  <c:v>-0.12007132455037454</c:v>
                </c:pt>
                <c:pt idx="16">
                  <c:v>5.8424794811535952E-2</c:v>
                </c:pt>
                <c:pt idx="17">
                  <c:v>4.262912491650072E-3</c:v>
                </c:pt>
                <c:pt idx="18">
                  <c:v>-7.6359286031088033E-2</c:v>
                </c:pt>
                <c:pt idx="19">
                  <c:v>-5.6936355721392912E-2</c:v>
                </c:pt>
                <c:pt idx="20">
                  <c:v>-8.6592132968088584E-2</c:v>
                </c:pt>
                <c:pt idx="21">
                  <c:v>-7.1024690798794339E-4</c:v>
                </c:pt>
                <c:pt idx="22">
                  <c:v>5.6026045329150643E-3</c:v>
                </c:pt>
                <c:pt idx="23">
                  <c:v>-1.4697286021304339E-2</c:v>
                </c:pt>
                <c:pt idx="24">
                  <c:v>1.1669550336841502E-2</c:v>
                </c:pt>
                <c:pt idx="25">
                  <c:v>2.1924011126728524E-2</c:v>
                </c:pt>
                <c:pt idx="26">
                  <c:v>7.4395705755828212E-2</c:v>
                </c:pt>
                <c:pt idx="27">
                  <c:v>6.1769485105434936E-3</c:v>
                </c:pt>
                <c:pt idx="28">
                  <c:v>1.4604687639148796E-2</c:v>
                </c:pt>
                <c:pt idx="29">
                  <c:v>-7.172423659673656E-2</c:v>
                </c:pt>
                <c:pt idx="30">
                  <c:v>5.8803521014520008E-2</c:v>
                </c:pt>
                <c:pt idx="31">
                  <c:v>6.9641024031983439E-2</c:v>
                </c:pt>
                <c:pt idx="32">
                  <c:v>3.8317917310145638E-2</c:v>
                </c:pt>
                <c:pt idx="33">
                  <c:v>1.7669852157094303E-2</c:v>
                </c:pt>
                <c:pt idx="34">
                  <c:v>0.10390437614162282</c:v>
                </c:pt>
                <c:pt idx="35">
                  <c:v>-4.4733012401822668E-2</c:v>
                </c:pt>
                <c:pt idx="36">
                  <c:v>9.843801999840468E-2</c:v>
                </c:pt>
                <c:pt idx="37">
                  <c:v>8.1842592709650219E-2</c:v>
                </c:pt>
                <c:pt idx="38">
                  <c:v>2.0236546823388997E-2</c:v>
                </c:pt>
                <c:pt idx="39">
                  <c:v>2.4436789022476799E-2</c:v>
                </c:pt>
                <c:pt idx="40">
                  <c:v>0.10189070664086478</c:v>
                </c:pt>
                <c:pt idx="41">
                  <c:v>-3.4855227646414813E-2</c:v>
                </c:pt>
                <c:pt idx="42">
                  <c:v>-4.805828765023655E-2</c:v>
                </c:pt>
                <c:pt idx="43">
                  <c:v>0.12136579936550049</c:v>
                </c:pt>
                <c:pt idx="44">
                  <c:v>0.15832652043429496</c:v>
                </c:pt>
                <c:pt idx="45">
                  <c:v>-0.25192481422180413</c:v>
                </c:pt>
                <c:pt idx="46">
                  <c:v>-6.0493215605047897E-2</c:v>
                </c:pt>
                <c:pt idx="47">
                  <c:v>-2.7990098258046409E-2</c:v>
                </c:pt>
                <c:pt idx="48">
                  <c:v>-1.2869081895441658E-2</c:v>
                </c:pt>
                <c:pt idx="49">
                  <c:v>-3.107649506417582E-2</c:v>
                </c:pt>
                <c:pt idx="50">
                  <c:v>-7.7303209708041347E-4</c:v>
                </c:pt>
                <c:pt idx="51">
                  <c:v>9.321644157876563E-3</c:v>
                </c:pt>
                <c:pt idx="52">
                  <c:v>-1.1132250401683346E-2</c:v>
                </c:pt>
                <c:pt idx="53">
                  <c:v>4.0248563277680623E-2</c:v>
                </c:pt>
                <c:pt idx="54">
                  <c:v>-1.4233794432637297E-2</c:v>
                </c:pt>
                <c:pt idx="55">
                  <c:v>-2.4088174941815348E-2</c:v>
                </c:pt>
                <c:pt idx="56">
                  <c:v>-5.1119715322811279E-3</c:v>
                </c:pt>
                <c:pt idx="57">
                  <c:v>1.1813512969503549E-2</c:v>
                </c:pt>
                <c:pt idx="58">
                  <c:v>5.6236259128095469E-2</c:v>
                </c:pt>
                <c:pt idx="59">
                  <c:v>1.6222907152620647E-2</c:v>
                </c:pt>
                <c:pt idx="60">
                  <c:v>-4.3050000000000007E-3</c:v>
                </c:pt>
              </c:numCache>
            </c:numRef>
          </c:xVal>
          <c:yVal>
            <c:numRef>
              <c:f>CAPM!$G$69:$G$129</c:f>
              <c:numCache>
                <c:formatCode>0.00%</c:formatCode>
                <c:ptCount val="61"/>
                <c:pt idx="0">
                  <c:v>2.1662205736894095E-2</c:v>
                </c:pt>
                <c:pt idx="1">
                  <c:v>-1.0895196078431341E-2</c:v>
                </c:pt>
                <c:pt idx="2">
                  <c:v>-8.6113784815813138E-2</c:v>
                </c:pt>
                <c:pt idx="3">
                  <c:v>-4.8637493573264794E-2</c:v>
                </c:pt>
                <c:pt idx="4">
                  <c:v>-4.8282692307692211E-3</c:v>
                </c:pt>
                <c:pt idx="5">
                  <c:v>9.6457382629108065E-2</c:v>
                </c:pt>
                <c:pt idx="6">
                  <c:v>7.1840939233484682E-2</c:v>
                </c:pt>
                <c:pt idx="7">
                  <c:v>-5.8439285714285714E-2</c:v>
                </c:pt>
                <c:pt idx="8">
                  <c:v>-6.1942284946236506E-2</c:v>
                </c:pt>
                <c:pt idx="9">
                  <c:v>-1.7460369757174399E-2</c:v>
                </c:pt>
                <c:pt idx="10">
                  <c:v>-2.4528936446173839E-2</c:v>
                </c:pt>
                <c:pt idx="11">
                  <c:v>9.2747711344721828E-3</c:v>
                </c:pt>
                <c:pt idx="12">
                  <c:v>-6.8687456482187242E-2</c:v>
                </c:pt>
                <c:pt idx="13">
                  <c:v>5.0480707330039724E-2</c:v>
                </c:pt>
                <c:pt idx="14">
                  <c:v>8.1424165610774743E-2</c:v>
                </c:pt>
                <c:pt idx="15">
                  <c:v>-4.6566820179577736E-2</c:v>
                </c:pt>
                <c:pt idx="16">
                  <c:v>3.402650036352961E-2</c:v>
                </c:pt>
                <c:pt idx="17">
                  <c:v>3.9964014796883232E-2</c:v>
                </c:pt>
                <c:pt idx="18">
                  <c:v>4.1685748969621638E-3</c:v>
                </c:pt>
                <c:pt idx="19">
                  <c:v>-3.640834997091083E-2</c:v>
                </c:pt>
                <c:pt idx="20">
                  <c:v>-8.5398577359571057E-2</c:v>
                </c:pt>
                <c:pt idx="21">
                  <c:v>2.9816200455713527E-2</c:v>
                </c:pt>
                <c:pt idx="22">
                  <c:v>-5.8509308719560053E-2</c:v>
                </c:pt>
                <c:pt idx="23">
                  <c:v>-2.3930560263653436E-2</c:v>
                </c:pt>
                <c:pt idx="24">
                  <c:v>-1.5448630136986356E-2</c:v>
                </c:pt>
                <c:pt idx="25">
                  <c:v>-3.5914560717109814E-2</c:v>
                </c:pt>
                <c:pt idx="26">
                  <c:v>1.0518479309287404E-2</c:v>
                </c:pt>
                <c:pt idx="27">
                  <c:v>4.1109489403057566E-2</c:v>
                </c:pt>
                <c:pt idx="28">
                  <c:v>1.3355665433504084E-2</c:v>
                </c:pt>
                <c:pt idx="29">
                  <c:v>-4.9364456015451155E-2</c:v>
                </c:pt>
                <c:pt idx="30">
                  <c:v>-2.9066669674908778E-3</c:v>
                </c:pt>
                <c:pt idx="31">
                  <c:v>-3.3981285231772601E-2</c:v>
                </c:pt>
                <c:pt idx="32">
                  <c:v>-5.1728296812748958E-2</c:v>
                </c:pt>
                <c:pt idx="33">
                  <c:v>-6.3056321736961921E-2</c:v>
                </c:pt>
                <c:pt idx="34">
                  <c:v>1.7497245762711923E-2</c:v>
                </c:pt>
                <c:pt idx="35">
                  <c:v>-4.8346118226999045E-2</c:v>
                </c:pt>
                <c:pt idx="36">
                  <c:v>3.50346241747074E-3</c:v>
                </c:pt>
                <c:pt idx="37">
                  <c:v>-1.654220091993285E-4</c:v>
                </c:pt>
                <c:pt idx="38">
                  <c:v>-1.0410463683429729E-2</c:v>
                </c:pt>
                <c:pt idx="39">
                  <c:v>9.1921066264705406E-2</c:v>
                </c:pt>
                <c:pt idx="40">
                  <c:v>0.12845325709516556</c:v>
                </c:pt>
                <c:pt idx="41">
                  <c:v>-5.3050249612697234E-2</c:v>
                </c:pt>
                <c:pt idx="42">
                  <c:v>-9.672795523301676E-3</c:v>
                </c:pt>
                <c:pt idx="43">
                  <c:v>0.1589902132217543</c:v>
                </c:pt>
                <c:pt idx="44">
                  <c:v>8.5375979342080521E-2</c:v>
                </c:pt>
                <c:pt idx="45">
                  <c:v>-0.13212313853444735</c:v>
                </c:pt>
                <c:pt idx="46">
                  <c:v>-3.9248371802869615E-2</c:v>
                </c:pt>
                <c:pt idx="47">
                  <c:v>-7.1293030198274793E-2</c:v>
                </c:pt>
                <c:pt idx="48">
                  <c:v>-3.5773018698309941E-2</c:v>
                </c:pt>
                <c:pt idx="49">
                  <c:v>-6.8360129947418857E-2</c:v>
                </c:pt>
                <c:pt idx="50">
                  <c:v>-7.2499510516017178E-4</c:v>
                </c:pt>
                <c:pt idx="51">
                  <c:v>6.8649861244334087E-2</c:v>
                </c:pt>
                <c:pt idx="52">
                  <c:v>-5.0907040225029281E-3</c:v>
                </c:pt>
                <c:pt idx="53">
                  <c:v>-2.0449929470180359E-3</c:v>
                </c:pt>
                <c:pt idx="54">
                  <c:v>-4.2865428008531228E-2</c:v>
                </c:pt>
                <c:pt idx="55">
                  <c:v>-6.2329159092876325E-3</c:v>
                </c:pt>
                <c:pt idx="56">
                  <c:v>-4.1059514919153245E-2</c:v>
                </c:pt>
                <c:pt idx="57">
                  <c:v>-4.8673477655021349E-2</c:v>
                </c:pt>
                <c:pt idx="58">
                  <c:v>4.1228187223019887E-2</c:v>
                </c:pt>
                <c:pt idx="59">
                  <c:v>0.12093688878810938</c:v>
                </c:pt>
                <c:pt idx="60">
                  <c:v>-5.9190130576172173E-2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6-4918-82BD-8C5276D4A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448799"/>
        <c:axId val="952609695"/>
      </c:scatterChart>
      <c:valAx>
        <c:axId val="186344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609695"/>
        <c:crosses val="autoZero"/>
        <c:crossBetween val="midCat"/>
      </c:valAx>
      <c:valAx>
        <c:axId val="952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44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Vinamilk!$R$99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Vinamilk!$Q$100</c:f>
              <c:numCache>
                <c:formatCode>#,##0.0_);[Red]\(#,##0.0\)</c:formatCode>
                <c:ptCount val="1"/>
                <c:pt idx="0">
                  <c:v>29745906</c:v>
                </c:pt>
              </c:numCache>
            </c:numRef>
          </c:cat>
          <c:val>
            <c:numRef>
              <c:f>Vinamilk!$R$100</c:f>
              <c:numCache>
                <c:formatCode>#,##0_);[Red]\(#,##0\)</c:formatCode>
                <c:ptCount val="1"/>
                <c:pt idx="0">
                  <c:v>31967663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A-43D4-A4CD-8B8BD81B769D}"/>
            </c:ext>
          </c:extLst>
        </c:ser>
        <c:ser>
          <c:idx val="1"/>
          <c:order val="1"/>
          <c:tx>
            <c:strRef>
              <c:f>Vinamilk!$S$99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Vinamilk!$Q$100</c:f>
              <c:numCache>
                <c:formatCode>#,##0.0_);[Red]\(#,##0.0\)</c:formatCode>
                <c:ptCount val="1"/>
                <c:pt idx="0">
                  <c:v>29745906</c:v>
                </c:pt>
              </c:numCache>
            </c:numRef>
          </c:cat>
          <c:val>
            <c:numRef>
              <c:f>Vinamilk!$S$100</c:f>
              <c:numCache>
                <c:formatCode>#,##0_);[Red]\(#,##0\)</c:formatCode>
                <c:ptCount val="1"/>
                <c:pt idx="0">
                  <c:v>34640863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FA-43D4-A4CD-8B8BD81B769D}"/>
            </c:ext>
          </c:extLst>
        </c:ser>
        <c:ser>
          <c:idx val="2"/>
          <c:order val="2"/>
          <c:tx>
            <c:strRef>
              <c:f>Vinamilk!$T$99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Vinamilk!$Q$100</c:f>
              <c:numCache>
                <c:formatCode>#,##0.0_);[Red]\(#,##0.0\)</c:formatCode>
                <c:ptCount val="1"/>
                <c:pt idx="0">
                  <c:v>29745906</c:v>
                </c:pt>
              </c:numCache>
            </c:numRef>
          </c:cat>
          <c:val>
            <c:numRef>
              <c:f>Vinamilk!$T$100</c:f>
              <c:numCache>
                <c:formatCode>#,##0_);[Red]\(#,##0\)</c:formatCode>
                <c:ptCount val="1"/>
                <c:pt idx="0">
                  <c:v>36059016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FA-43D4-A4CD-8B8BD81B7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45247176"/>
        <c:axId val="2045249696"/>
      </c:barChart>
      <c:catAx>
        <c:axId val="2045247176"/>
        <c:scaling>
          <c:orientation val="minMax"/>
        </c:scaling>
        <c:delete val="1"/>
        <c:axPos val="b"/>
        <c:numFmt formatCode="#,##0.0_);[Red]\(#,##0.0\)" sourceLinked="1"/>
        <c:majorTickMark val="none"/>
        <c:minorTickMark val="none"/>
        <c:tickLblPos val="nextTo"/>
        <c:crossAx val="2045249696"/>
        <c:crosses val="autoZero"/>
        <c:auto val="1"/>
        <c:lblAlgn val="ctr"/>
        <c:lblOffset val="100"/>
        <c:noMultiLvlLbl val="0"/>
      </c:catAx>
      <c:valAx>
        <c:axId val="2045249696"/>
        <c:scaling>
          <c:orientation val="minMax"/>
        </c:scaling>
        <c:delete val="0"/>
        <c:axPos val="l"/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45247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6E-45F6-9241-6A469393DE3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6E-45F6-9241-6A469393DE3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E6E-45F6-9241-6A469393DE3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E6E-45F6-9241-6A469393DE3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E6E-45F6-9241-6A469393DE3A}"/>
              </c:ext>
            </c:extLst>
          </c:dPt>
          <c:dLbls>
            <c:dLbl>
              <c:idx val="0"/>
              <c:layout>
                <c:manualLayout>
                  <c:x val="-0.13069549118836526"/>
                  <c:y val="0.1678267472743546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E6E-45F6-9241-6A469393DE3A}"/>
                </c:ext>
              </c:extLst>
            </c:dLbl>
            <c:dLbl>
              <c:idx val="1"/>
              <c:layout>
                <c:manualLayout>
                  <c:x val="-7.5482763054904506E-2"/>
                  <c:y val="-0.169164624572627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6E-45F6-9241-6A469393DE3A}"/>
                </c:ext>
              </c:extLst>
            </c:dLbl>
            <c:dLbl>
              <c:idx val="2"/>
              <c:layout>
                <c:manualLayout>
                  <c:x val="0.18948470442517193"/>
                  <c:y val="4.246760774185975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6E-45F6-9241-6A469393DE3A}"/>
                </c:ext>
              </c:extLst>
            </c:dLbl>
            <c:dLbl>
              <c:idx val="3"/>
              <c:layout>
                <c:manualLayout>
                  <c:x val="-1.0631094302356481E-2"/>
                  <c:y val="9.243715975289397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E6E-45F6-9241-6A469393DE3A}"/>
                </c:ext>
              </c:extLst>
            </c:dLbl>
            <c:dLbl>
              <c:idx val="4"/>
              <c:layout>
                <c:manualLayout>
                  <c:x val="7.6878437843181879E-2"/>
                  <c:y val="0.1463609150537792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E6E-45F6-9241-6A469393DE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breakdown'!$L$4:$L$8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breakdown'!$R$4:$R$8</c:f>
              <c:numCache>
                <c:formatCode>##,#00</c:formatCode>
                <c:ptCount val="5"/>
                <c:pt idx="0">
                  <c:v>23.2</c:v>
                </c:pt>
                <c:pt idx="1">
                  <c:v>44.8</c:v>
                </c:pt>
                <c:pt idx="2">
                  <c:v>62.5</c:v>
                </c:pt>
                <c:pt idx="3">
                  <c:v>82.8</c:v>
                </c:pt>
                <c:pt idx="4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E6E-45F6-9241-6A469393DE3A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E6E-45F6-9241-6A469393DE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4E6E-45F6-9241-6A469393DE3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'revenue breakdown'!$AD$3</c:f>
              <c:strCache>
                <c:ptCount val="1"/>
                <c:pt idx="0">
                  <c:v>Rvenue by sector of VNM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41A-486F-8746-63F142EDC1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41A-486F-8746-63F142EDC1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41A-486F-8746-63F142EDC1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41A-486F-8746-63F142EDC1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41A-486F-8746-63F142EDC1F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41A-486F-8746-63F142EDC1FD}"/>
              </c:ext>
            </c:extLst>
          </c:dPt>
          <c:dLbls>
            <c:dLbl>
              <c:idx val="0"/>
              <c:layout>
                <c:manualLayout>
                  <c:x val="-8.4008311461067367E-2"/>
                  <c:y val="0.117732939632545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1A-486F-8746-63F142EDC1FD}"/>
                </c:ext>
              </c:extLst>
            </c:dLbl>
            <c:dLbl>
              <c:idx val="3"/>
              <c:layout>
                <c:manualLayout>
                  <c:x val="0.11814587642884353"/>
                  <c:y val="0.2150973545378029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1A-486F-8746-63F142EDC1FD}"/>
                </c:ext>
              </c:extLst>
            </c:dLbl>
            <c:dLbl>
              <c:idx val="4"/>
              <c:layout>
                <c:manualLayout>
                  <c:x val="-0.22114265274360614"/>
                  <c:y val="1.302869708532229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1A-486F-8746-63F142EDC1F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breakdown'!$AC$4:$AC$9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breakdown'!$AD$4:$AD$9</c:f>
              <c:numCache>
                <c:formatCode>0.00%</c:formatCode>
                <c:ptCount val="6"/>
                <c:pt idx="0">
                  <c:v>0.12463346266107922</c:v>
                </c:pt>
                <c:pt idx="1">
                  <c:v>0.46836568384970606</c:v>
                </c:pt>
                <c:pt idx="2">
                  <c:v>0.24387224848763911</c:v>
                </c:pt>
                <c:pt idx="3">
                  <c:v>0.13374017688158951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41A-486F-8746-63F142EDC1FD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76400137472235E-2"/>
          <c:y val="5.4948487145380122E-2"/>
          <c:w val="0.9072066597412346"/>
          <c:h val="0.8931484482595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'revenue breakdown'!$V$15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breakdown'!$V$16:$V$20</c:f>
              <c:numCache>
                <c:formatCode>0.00%</c:formatCode>
                <c:ptCount val="5"/>
                <c:pt idx="0">
                  <c:v>0.12662080640036572</c:v>
                </c:pt>
                <c:pt idx="1">
                  <c:v>0.48402755292028937</c:v>
                </c:pt>
                <c:pt idx="2">
                  <c:v>0.22644739394052107</c:v>
                </c:pt>
                <c:pt idx="3">
                  <c:v>0.13168372404655179</c:v>
                </c:pt>
                <c:pt idx="4">
                  <c:v>3.1220522692272098E-2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6-4B53-B02C-3FA3CA94D531}"/>
            </c:ext>
          </c:extLst>
        </c:ser>
        <c:ser>
          <c:idx val="1"/>
          <c:order val="1"/>
          <c:tx>
            <c:strRef>
              <c:f>'revenue breakdown'!$W$15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breakdown'!$W$16:$W$20</c:f>
              <c:numCache>
                <c:formatCode>0.00%</c:formatCode>
                <c:ptCount val="5"/>
                <c:pt idx="0">
                  <c:v>0.12184205609945714</c:v>
                </c:pt>
                <c:pt idx="1">
                  <c:v>0.48416577835133645</c:v>
                </c:pt>
                <c:pt idx="2">
                  <c:v>0.23136910078878609</c:v>
                </c:pt>
                <c:pt idx="3">
                  <c:v>0.13230100602101014</c:v>
                </c:pt>
                <c:pt idx="4">
                  <c:v>3.0322058739410178E-2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6-4B53-B02C-3FA3CA94D531}"/>
            </c:ext>
          </c:extLst>
        </c:ser>
        <c:ser>
          <c:idx val="2"/>
          <c:order val="2"/>
          <c:tx>
            <c:strRef>
              <c:f>'revenue breakdown'!$X$15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breakdown'!$X$16:$X$20</c:f>
              <c:numCache>
                <c:formatCode>0.00%</c:formatCode>
                <c:ptCount val="5"/>
                <c:pt idx="0">
                  <c:v>0.12055703178985804</c:v>
                </c:pt>
                <c:pt idx="1">
                  <c:v>0.48202685489297287</c:v>
                </c:pt>
                <c:pt idx="2">
                  <c:v>0.23782404467235971</c:v>
                </c:pt>
                <c:pt idx="3">
                  <c:v>0.13015617119303449</c:v>
                </c:pt>
                <c:pt idx="4">
                  <c:v>2.9435897451774967E-2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A6-4B53-B02C-3FA3CA94D531}"/>
            </c:ext>
          </c:extLst>
        </c:ser>
        <c:ser>
          <c:idx val="3"/>
          <c:order val="3"/>
          <c:tx>
            <c:strRef>
              <c:f>'revenue breakdown'!$Y$15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/>
                </a:gs>
                <a:gs pos="100000">
                  <a:schemeClr val="accent5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breakdown'!$T$16:$T$20</c:f>
              <c:strCache>
                <c:ptCount val="5"/>
                <c:pt idx="0">
                  <c:v>Baby Food</c:v>
                </c:pt>
                <c:pt idx="1">
                  <c:v>Drinking Milk Products</c:v>
                </c:pt>
                <c:pt idx="2">
                  <c:v>Yoghurt and Sour Milk Products</c:v>
                </c:pt>
                <c:pt idx="3">
                  <c:v>Condensed milk</c:v>
                </c:pt>
                <c:pt idx="4">
                  <c:v>Plant-based and other dairy</c:v>
                </c:pt>
              </c:strCache>
            </c:strRef>
          </c:cat>
          <c:val>
            <c:numRef>
              <c:f>'revenue breakdown'!$Y$16:$Y$20</c:f>
              <c:numCache>
                <c:formatCode>0.00%</c:formatCode>
                <c:ptCount val="5"/>
                <c:pt idx="0">
                  <c:v>0.12463346266107922</c:v>
                </c:pt>
                <c:pt idx="1">
                  <c:v>0.46836568384970606</c:v>
                </c:pt>
                <c:pt idx="2">
                  <c:v>0.24387224848763911</c:v>
                </c:pt>
                <c:pt idx="3">
                  <c:v>0.13374017688158951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A6-4B53-B02C-3FA3CA94D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9813632"/>
        <c:axId val="729812552"/>
      </c:barChart>
      <c:catAx>
        <c:axId val="7298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9812552"/>
        <c:crosses val="autoZero"/>
        <c:auto val="1"/>
        <c:lblAlgn val="ctr"/>
        <c:lblOffset val="100"/>
        <c:noMultiLvlLbl val="0"/>
      </c:catAx>
      <c:valAx>
        <c:axId val="729812552"/>
        <c:scaling>
          <c:orientation val="minMax"/>
          <c:max val="0.5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98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4007184187906E-2"/>
          <c:y val="3.0679407031039666E-2"/>
          <c:w val="0.90192599281581209"/>
          <c:h val="0.76422681539807524"/>
        </c:manualLayout>
      </c:layout>
      <c:barChart>
        <c:barDir val="col"/>
        <c:grouping val="stacked"/>
        <c:varyColors val="0"/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662800"/>
        <c:axId val="518663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'revenue breakdown'!$T$4</c15:sqref>
                        </c15:formulaRef>
                      </c:ext>
                    </c:extLst>
                    <c:strCache>
                      <c:ptCount val="1"/>
                      <c:pt idx="0">
                        <c:v>Baby Food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breakdown'!$V$4:$Y$4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6282.73</c:v>
                      </c:pt>
                      <c:pt idx="1">
                        <c:v>6582.5418999999993</c:v>
                      </c:pt>
                      <c:pt idx="2">
                        <c:v>6853.1112000000012</c:v>
                      </c:pt>
                      <c:pt idx="3">
                        <c:v>7271.4431999999997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7B5-4A28-A3DA-BEBD34B50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breakdown'!$T$5</c15:sqref>
                        </c15:formulaRef>
                      </c:ext>
                    </c:extLst>
                    <c:strCache>
                      <c:ptCount val="1"/>
                      <c:pt idx="0">
                        <c:v>Drinking Milk Products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breakdown'!$V$5:$Y$5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24016.704000000005</c:v>
                      </c:pt>
                      <c:pt idx="1">
                        <c:v>26157.1548</c:v>
                      </c:pt>
                      <c:pt idx="2">
                        <c:v>27401.003399999998</c:v>
                      </c:pt>
                      <c:pt idx="3">
                        <c:v>27325.682800000002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7B5-4A28-A3DA-BEBD34B5095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breakdown'!$T$6</c15:sqref>
                        </c15:formulaRef>
                      </c:ext>
                    </c:extLst>
                    <c:strCache>
                      <c:ptCount val="1"/>
                      <c:pt idx="0">
                        <c:v>Yoghurt and Sour Milk Products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breakdown'!$V$6:$Y$6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11235.972</c:v>
                      </c:pt>
                      <c:pt idx="1">
                        <c:v>12499.762799999999</c:v>
                      </c:pt>
                      <c:pt idx="2">
                        <c:v>13519.2</c:v>
                      </c:pt>
                      <c:pt idx="3">
                        <c:v>14228.146799999999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7B5-4A28-A3DA-BEBD34B5095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breakdown'!$T$7</c15:sqref>
                        </c15:formulaRef>
                      </c:ext>
                    </c:extLst>
                    <c:strCache>
                      <c:ptCount val="1"/>
                      <c:pt idx="0">
                        <c:v>Condensed milk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breakdown'!$V$7:$Y$7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6533.944199999999</c:v>
                      </c:pt>
                      <c:pt idx="1">
                        <c:v>7147.5887999999986</c:v>
                      </c:pt>
                      <c:pt idx="2">
                        <c:v>7398.7779999999993</c:v>
                      </c:pt>
                      <c:pt idx="3">
                        <c:v>7802.7528000000002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7B5-4A28-A3DA-BEBD34B50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breakdown'!$T$8</c15:sqref>
                        </c15:formulaRef>
                      </c:ext>
                    </c:extLst>
                    <c:strCache>
                      <c:ptCount val="1"/>
                      <c:pt idx="0">
                        <c:v>Plant-based and other dairy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delete val="1"/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breakdown'!$V$8:$Y$8</c15:sqref>
                        </c15:formulaRef>
                      </c:ext>
                    </c:extLst>
                    <c:numCache>
                      <c:formatCode>##,#00</c:formatCode>
                      <c:ptCount val="4"/>
                      <c:pt idx="0">
                        <c:v>1549.1143999999997</c:v>
                      </c:pt>
                      <c:pt idx="1">
                        <c:v>1638.1554000000001</c:v>
                      </c:pt>
                      <c:pt idx="2">
                        <c:v>1673.2950000000001</c:v>
                      </c:pt>
                      <c:pt idx="3">
                        <c:v>1714.5980000000002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7B5-4A28-A3DA-BEBD34B50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v>CAGR</c:v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'revenue breakdown'!$U$13:$U$14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3.9189550209582702E-2</c:v>
                      </c:pt>
                      <c:pt idx="1">
                        <c:v>7.8379100419165397E-3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7B5-4A28-A3DA-BEBD34B50958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7"/>
          <c:order val="7"/>
          <c:tx>
            <c:strRef>
              <c:f>'revenue breakdown'!$T$13</c:f>
              <c:strCache>
                <c:ptCount val="1"/>
                <c:pt idx="0">
                  <c:v>CAGR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  <a:tailEnd type="triangle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0.38948807637263161"/>
                  <c:y val="1.375758303482909E-2"/>
                </c:manualLayout>
              </c:layout>
              <c:tx>
                <c:rich>
                  <a:bodyPr rot="-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037C86C-57B9-459E-BFE3-54E6EB7408F2}" type="SERIESNAME">
                      <a:rPr lang="en-US"/>
                      <a:pPr>
                        <a:defRPr/>
                      </a:pPr>
                      <a:t>[SERIES NAME]</a:t>
                    </a:fld>
                    <a:r>
                      <a:rPr lang="en-US" baseline="0"/>
                      <a:t>: 2.17%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27B5-4A28-A3DA-BEBD34B509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'revenue breakdown'!$X$13:$X$14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'revenue breakdown'!$Y$13:$Y$14</c:f>
              <c:numCache>
                <c:formatCode>##,#00</c:formatCode>
                <c:ptCount val="2"/>
                <c:pt idx="0">
                  <c:v>52376.53244000001</c:v>
                </c:pt>
                <c:pt idx="1">
                  <c:v>67094.017140000011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B5-4A28-A3DA-BEBD34B50958}"/>
            </c:ext>
          </c:extLst>
        </c:ser>
        <c:ser>
          <c:idx val="8"/>
          <c:order val="8"/>
          <c:tx>
            <c:strRef>
              <c:f>'revenue breakdown'!$V$12</c:f>
              <c:strCache>
                <c:ptCount val="1"/>
                <c:pt idx="0">
                  <c:v>CAGR: 5.92%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breakdown'!$Z$14</c:f>
              <c:numCache>
                <c:formatCode>##,#00</c:formatCode>
                <c:ptCount val="1"/>
                <c:pt idx="0">
                  <c:v>2.5</c:v>
                </c:pt>
              </c:numCache>
            </c:numRef>
          </c:xVal>
          <c:yVal>
            <c:numRef>
              <c:f>'revenue breakdown'!$AA$13</c:f>
              <c:numCache>
                <c:formatCode>##,#00</c:formatCode>
                <c:ptCount val="1"/>
                <c:pt idx="0">
                  <c:v>59735.27479000001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B5-4A28-A3DA-BEBD34B50958}"/>
            </c:ext>
          </c:extLst>
        </c:ser>
        <c:ser>
          <c:idx val="9"/>
          <c:order val="9"/>
          <c:tx>
            <c:strRef>
              <c:f>'Condensed milk'!$L$74</c:f>
              <c:strCache>
                <c:ptCount val="1"/>
                <c:pt idx="0">
                  <c:v>Vietnam Dairy Products JSC (Vinamilk)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breakdown'!$U$11:$Y$11</c:f>
              <c:numCache>
                <c:formatCode>##,#00</c:formatCode>
                <c:ptCount val="5"/>
                <c:pt idx="0">
                  <c:v>43625.138900000005</c:v>
                </c:pt>
                <c:pt idx="1">
                  <c:v>49618.464599999999</c:v>
                </c:pt>
                <c:pt idx="2">
                  <c:v>54025.203699999998</c:v>
                </c:pt>
                <c:pt idx="3">
                  <c:v>56845.387599999995</c:v>
                </c:pt>
                <c:pt idx="4">
                  <c:v>58342.623600000006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7B5-4A28-A3DA-BEBD34B50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2800"/>
        <c:axId val="51866388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'revenue breakdown'!$T$9</c15:sqref>
                        </c15:formulaRef>
                      </c:ext>
                    </c:extLst>
                    <c:strCache>
                      <c:ptCount val="1"/>
                      <c:pt idx="0">
                        <c:v>Force zero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'revenue breakdown'!$U$9:$Z$9</c15:sqref>
                        </c15:formulaRef>
                      </c:ext>
                    </c:extLst>
                    <c:numCache>
                      <c:formatCode>##,#00</c:formatCode>
                      <c:ptCount val="6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27B5-4A28-A3DA-BEBD34B50958}"/>
                  </c:ext>
                </c:extLst>
              </c15:ser>
            </c15:filteredScatterSeries>
          </c:ext>
        </c:extLst>
      </c:scatterChart>
      <c:catAx>
        <c:axId val="518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3880"/>
        <c:crosses val="autoZero"/>
        <c:auto val="1"/>
        <c:lblAlgn val="ctr"/>
        <c:lblOffset val="100"/>
        <c:noMultiLvlLbl val="0"/>
      </c:catAx>
      <c:valAx>
        <c:axId val="518663880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"/>
          <c:y val="0.87164348606020747"/>
          <c:w val="0.31361753474076015"/>
          <c:h val="8.86529869643134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49965992520103"/>
          <c:y val="2.0574202398135556E-2"/>
          <c:w val="0.88350034007479894"/>
          <c:h val="0.73078443512092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'revenue breakdown'!$T$16</c:f>
              <c:strCache>
                <c:ptCount val="1"/>
                <c:pt idx="0">
                  <c:v>Baby 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breakdown'!$U$16:$Y$16</c:f>
              <c:numCache>
                <c:formatCode>0.00%</c:formatCode>
                <c:ptCount val="5"/>
                <c:pt idx="0">
                  <c:v>0.13823570427646248</c:v>
                </c:pt>
                <c:pt idx="1">
                  <c:v>0.12662080640036572</c:v>
                </c:pt>
                <c:pt idx="2">
                  <c:v>0.12184205609945714</c:v>
                </c:pt>
                <c:pt idx="3">
                  <c:v>0.12055703178985804</c:v>
                </c:pt>
                <c:pt idx="4">
                  <c:v>0.12463346266107922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3-4DCC-9914-FA4FA1FA3C68}"/>
            </c:ext>
          </c:extLst>
        </c:ser>
        <c:ser>
          <c:idx val="1"/>
          <c:order val="1"/>
          <c:tx>
            <c:strRef>
              <c:f>'revenue breakdown'!$T$17</c:f>
              <c:strCache>
                <c:ptCount val="1"/>
                <c:pt idx="0">
                  <c:v>Drinking Milk Products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breakdown'!$U$17:$Y$17</c:f>
              <c:numCache>
                <c:formatCode>0.00%</c:formatCode>
                <c:ptCount val="5"/>
                <c:pt idx="0">
                  <c:v>0.46504702131733494</c:v>
                </c:pt>
                <c:pt idx="1">
                  <c:v>0.48402755292028937</c:v>
                </c:pt>
                <c:pt idx="2">
                  <c:v>0.48416577835133645</c:v>
                </c:pt>
                <c:pt idx="3">
                  <c:v>0.48202685489297287</c:v>
                </c:pt>
                <c:pt idx="4">
                  <c:v>0.46836568384970606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C3-4DCC-9914-FA4FA1FA3C68}"/>
            </c:ext>
          </c:extLst>
        </c:ser>
        <c:ser>
          <c:idx val="2"/>
          <c:order val="2"/>
          <c:tx>
            <c:strRef>
              <c:f>'revenue breakdown'!$T$18</c:f>
              <c:strCache>
                <c:ptCount val="1"/>
                <c:pt idx="0">
                  <c:v>Yoghurt and Sour Milk Products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breakdown'!$U$18:$Y$18</c:f>
              <c:numCache>
                <c:formatCode>0.00%</c:formatCode>
                <c:ptCount val="5"/>
                <c:pt idx="0">
                  <c:v>0.22694624818718914</c:v>
                </c:pt>
                <c:pt idx="1">
                  <c:v>0.22644739394052107</c:v>
                </c:pt>
                <c:pt idx="2">
                  <c:v>0.23136910078878609</c:v>
                </c:pt>
                <c:pt idx="3">
                  <c:v>0.23782404467235971</c:v>
                </c:pt>
                <c:pt idx="4">
                  <c:v>0.24387224848763911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C3-4DCC-9914-FA4FA1FA3C68}"/>
            </c:ext>
          </c:extLst>
        </c:ser>
        <c:ser>
          <c:idx val="3"/>
          <c:order val="3"/>
          <c:tx>
            <c:strRef>
              <c:f>'revenue breakdown'!$T$19</c:f>
              <c:strCache>
                <c:ptCount val="1"/>
                <c:pt idx="0">
                  <c:v>Condensed milk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breakdown'!$U$19:$Y$19</c:f>
              <c:numCache>
                <c:formatCode>0.00%</c:formatCode>
                <c:ptCount val="5"/>
                <c:pt idx="0">
                  <c:v>0.13661187907415462</c:v>
                </c:pt>
                <c:pt idx="1">
                  <c:v>0.13168372404655179</c:v>
                </c:pt>
                <c:pt idx="2">
                  <c:v>0.13230100602101014</c:v>
                </c:pt>
                <c:pt idx="3">
                  <c:v>0.13015617119303449</c:v>
                </c:pt>
                <c:pt idx="4">
                  <c:v>0.13374017688158951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C3-4DCC-9914-FA4FA1FA3C68}"/>
            </c:ext>
          </c:extLst>
        </c:ser>
        <c:ser>
          <c:idx val="4"/>
          <c:order val="4"/>
          <c:tx>
            <c:strRef>
              <c:f>'revenue breakdown'!$T$20</c:f>
              <c:strCache>
                <c:ptCount val="1"/>
                <c:pt idx="0">
                  <c:v>Plant-based and other dairy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breakdown'!$U$15:$Y$15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breakdown'!$U$20:$Y$20</c:f>
              <c:numCache>
                <c:formatCode>0.00%</c:formatCode>
                <c:ptCount val="5"/>
                <c:pt idx="0">
                  <c:v>3.3159147144858715E-2</c:v>
                </c:pt>
                <c:pt idx="1">
                  <c:v>3.1220522692272098E-2</c:v>
                </c:pt>
                <c:pt idx="2">
                  <c:v>3.0322058739410178E-2</c:v>
                </c:pt>
                <c:pt idx="3">
                  <c:v>2.9435897451774967E-2</c:v>
                </c:pt>
                <c:pt idx="4">
                  <c:v>2.9388428119986019E-2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C3-4DCC-9914-FA4FA1FA3C6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5155840"/>
        <c:axId val="685157640"/>
      </c:barChart>
      <c:catAx>
        <c:axId val="6851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157640"/>
        <c:crosses val="autoZero"/>
        <c:auto val="1"/>
        <c:lblAlgn val="ctr"/>
        <c:lblOffset val="100"/>
        <c:noMultiLvlLbl val="0"/>
      </c:catAx>
      <c:valAx>
        <c:axId val="685157640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8515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875431213096639E-2"/>
          <c:y val="0.83686768638685616"/>
          <c:w val="0.98135183666618298"/>
          <c:h val="0.16313231361314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breakdown'!$H$49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breakdown'!$H$50:$H$51</c:f>
              <c:numCache>
                <c:formatCode>0%;[Red]\(0%\)</c:formatCode>
                <c:ptCount val="2"/>
                <c:pt idx="0">
                  <c:v>0.85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B-4E5E-8FDD-94ACC17F57B1}"/>
            </c:ext>
          </c:extLst>
        </c:ser>
        <c:ser>
          <c:idx val="1"/>
          <c:order val="1"/>
          <c:tx>
            <c:strRef>
              <c:f>'revenue breakdown'!$I$49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breakdown'!$I$50:$I$51</c:f>
              <c:numCache>
                <c:formatCode>0%;[Red]\(0%\)</c:formatCode>
                <c:ptCount val="2"/>
                <c:pt idx="0">
                  <c:v>0.84</c:v>
                </c:pt>
                <c:pt idx="1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B-4E5E-8FDD-94ACC17F57B1}"/>
            </c:ext>
          </c:extLst>
        </c:ser>
        <c:ser>
          <c:idx val="2"/>
          <c:order val="2"/>
          <c:tx>
            <c:strRef>
              <c:f>'revenue breakdown'!$J$49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'revenue breakdown'!$G$50:$G$51</c:f>
              <c:strCache>
                <c:ptCount val="2"/>
                <c:pt idx="0">
                  <c:v>Domestic</c:v>
                </c:pt>
                <c:pt idx="1">
                  <c:v>Foreign</c:v>
                </c:pt>
              </c:strCache>
            </c:strRef>
          </c:cat>
          <c:val>
            <c:numRef>
              <c:f>'revenue breakdown'!$J$50:$J$51</c:f>
              <c:numCache>
                <c:formatCode>0%;[Red]\(0%\)</c:formatCode>
                <c:ptCount val="2"/>
                <c:pt idx="0">
                  <c:v>0.85</c:v>
                </c:pt>
                <c:pt idx="1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B-4E5E-8FDD-94ACC17F5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69861600"/>
        <c:axId val="969858360"/>
      </c:barChart>
      <c:catAx>
        <c:axId val="9698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58360"/>
        <c:crosses val="autoZero"/>
        <c:auto val="1"/>
        <c:lblAlgn val="ctr"/>
        <c:lblOffset val="100"/>
        <c:noMultiLvlLbl val="0"/>
      </c:catAx>
      <c:valAx>
        <c:axId val="969858360"/>
        <c:scaling>
          <c:orientation val="minMax"/>
        </c:scaling>
        <c:delete val="0"/>
        <c:axPos val="l"/>
        <c:numFmt formatCode="0%;[Red]\(0%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86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074007184187906E-2"/>
          <c:y val="3.0679407031039666E-2"/>
          <c:w val="0.90192599281581209"/>
          <c:h val="0.764226815398075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'revenue breakdown'!$T$4</c:f>
              <c:strCache>
                <c:ptCount val="1"/>
                <c:pt idx="0">
                  <c:v>Baby Food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breakdown'!$V$4:$Y$4</c:f>
              <c:numCache>
                <c:formatCode>##,#00</c:formatCode>
                <c:ptCount val="4"/>
                <c:pt idx="0">
                  <c:v>6282.73</c:v>
                </c:pt>
                <c:pt idx="1">
                  <c:v>6582.5418999999993</c:v>
                </c:pt>
                <c:pt idx="2">
                  <c:v>6853.1112000000012</c:v>
                </c:pt>
                <c:pt idx="3">
                  <c:v>7271.4431999999997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F-4FFF-80E8-26E28B758ED6}"/>
            </c:ext>
          </c:extLst>
        </c:ser>
        <c:ser>
          <c:idx val="1"/>
          <c:order val="1"/>
          <c:tx>
            <c:strRef>
              <c:f>'revenue breakdown'!$T$5</c:f>
              <c:strCache>
                <c:ptCount val="1"/>
                <c:pt idx="0">
                  <c:v>Drinking Milk Products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breakdown'!$V$5:$Y$5</c:f>
              <c:numCache>
                <c:formatCode>##,#00</c:formatCode>
                <c:ptCount val="4"/>
                <c:pt idx="0">
                  <c:v>24016.704000000005</c:v>
                </c:pt>
                <c:pt idx="1">
                  <c:v>26157.1548</c:v>
                </c:pt>
                <c:pt idx="2">
                  <c:v>27401.003399999998</c:v>
                </c:pt>
                <c:pt idx="3">
                  <c:v>27325.682800000002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F-4FFF-80E8-26E28B758ED6}"/>
            </c:ext>
          </c:extLst>
        </c:ser>
        <c:ser>
          <c:idx val="2"/>
          <c:order val="2"/>
          <c:tx>
            <c:strRef>
              <c:f>'revenue breakdown'!$T$6</c:f>
              <c:strCache>
                <c:ptCount val="1"/>
                <c:pt idx="0">
                  <c:v>Yoghurt and Sour Milk Products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breakdown'!$V$6:$Y$6</c:f>
              <c:numCache>
                <c:formatCode>##,#00</c:formatCode>
                <c:ptCount val="4"/>
                <c:pt idx="0">
                  <c:v>11235.972</c:v>
                </c:pt>
                <c:pt idx="1">
                  <c:v>12499.762799999999</c:v>
                </c:pt>
                <c:pt idx="2">
                  <c:v>13519.2</c:v>
                </c:pt>
                <c:pt idx="3">
                  <c:v>14228.146799999999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F-4FFF-80E8-26E28B758ED6}"/>
            </c:ext>
          </c:extLst>
        </c:ser>
        <c:ser>
          <c:idx val="3"/>
          <c:order val="3"/>
          <c:tx>
            <c:strRef>
              <c:f>'revenue breakdown'!$T$7</c:f>
              <c:strCache>
                <c:ptCount val="1"/>
                <c:pt idx="0">
                  <c:v>Condensed milk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breakdown'!$V$7:$Y$7</c:f>
              <c:numCache>
                <c:formatCode>##,#00</c:formatCode>
                <c:ptCount val="4"/>
                <c:pt idx="0">
                  <c:v>6533.944199999999</c:v>
                </c:pt>
                <c:pt idx="1">
                  <c:v>7147.5887999999986</c:v>
                </c:pt>
                <c:pt idx="2">
                  <c:v>7398.7779999999993</c:v>
                </c:pt>
                <c:pt idx="3">
                  <c:v>7802.7528000000002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7F-4FFF-80E8-26E28B758ED6}"/>
            </c:ext>
          </c:extLst>
        </c:ser>
        <c:ser>
          <c:idx val="4"/>
          <c:order val="4"/>
          <c:tx>
            <c:strRef>
              <c:f>'revenue breakdown'!$T$8</c:f>
              <c:strCache>
                <c:ptCount val="1"/>
                <c:pt idx="0">
                  <c:v>Plant-based and other dairy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'revenue breakdown'!$V$3:$Y$3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'revenue breakdown'!$V$8:$Y$8</c:f>
              <c:numCache>
                <c:formatCode>##,#00</c:formatCode>
                <c:ptCount val="4"/>
                <c:pt idx="0">
                  <c:v>1549.1143999999997</c:v>
                </c:pt>
                <c:pt idx="1">
                  <c:v>1638.1554000000001</c:v>
                </c:pt>
                <c:pt idx="2">
                  <c:v>1673.2950000000001</c:v>
                </c:pt>
                <c:pt idx="3">
                  <c:v>1714.5980000000002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7F-4FFF-80E8-26E28B758ED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8662800"/>
        <c:axId val="51866388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v>CAGR</c:v>
                </c:tx>
                <c:spPr>
                  <a:gradFill rotWithShape="1">
                    <a:gsLst>
                      <a:gs pos="0">
                        <a:schemeClr val="accent4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'revenue breakdown'!$V$3:$Y$3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'revenue breakdown'!$U$13:$U$14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3.9189550209582702E-2</c:v>
                      </c:pt>
                      <c:pt idx="1">
                        <c:v>7.8379100419165397E-3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047F-4FFF-80E8-26E28B758ED6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7"/>
          <c:order val="7"/>
          <c:tx>
            <c:strRef>
              <c:f>'revenue breakdown'!$T$13</c:f>
              <c:strCache>
                <c:ptCount val="1"/>
                <c:pt idx="0">
                  <c:v>CAGR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  <a:tailEnd type="triangle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0.38948807637263161"/>
                  <c:y val="1.375758303482909E-2"/>
                </c:manualLayout>
              </c:layout>
              <c:tx>
                <c:rich>
                  <a:bodyPr rot="-36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5037C86C-57B9-459E-BFE3-54E6EB7408F2}" type="SERIESNAME">
                      <a:rPr lang="en-US"/>
                      <a:pPr>
                        <a:defRPr/>
                      </a:pPr>
                      <a:t>[SERIES NAME]</a:t>
                    </a:fld>
                    <a:r>
                      <a:rPr lang="en-US" baseline="0"/>
                      <a:t>: 2.17%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36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47F-4FFF-80E8-26E28B758E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'revenue breakdown'!$X$13:$X$14</c:f>
              <c:numCache>
                <c:formatCode>General</c:formatCode>
                <c:ptCount val="2"/>
                <c:pt idx="0">
                  <c:v>1</c:v>
                </c:pt>
                <c:pt idx="1">
                  <c:v>4</c:v>
                </c:pt>
              </c:numCache>
            </c:numRef>
          </c:xVal>
          <c:yVal>
            <c:numRef>
              <c:f>'revenue breakdown'!$Y$13:$Y$14</c:f>
              <c:numCache>
                <c:formatCode>##,#00</c:formatCode>
                <c:ptCount val="2"/>
                <c:pt idx="0">
                  <c:v>52376.53244000001</c:v>
                </c:pt>
                <c:pt idx="1">
                  <c:v>67094.017140000011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47F-4FFF-80E8-26E28B758ED6}"/>
            </c:ext>
          </c:extLst>
        </c:ser>
        <c:ser>
          <c:idx val="8"/>
          <c:order val="8"/>
          <c:tx>
            <c:strRef>
              <c:f>'revenue breakdown'!$V$12</c:f>
              <c:strCache>
                <c:ptCount val="1"/>
                <c:pt idx="0">
                  <c:v>CAGR: 5.92%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'revenue breakdown'!$Z$14</c:f>
              <c:numCache>
                <c:formatCode>##,#00</c:formatCode>
                <c:ptCount val="1"/>
                <c:pt idx="0">
                  <c:v>2.5</c:v>
                </c:pt>
              </c:numCache>
            </c:numRef>
          </c:xVal>
          <c:yVal>
            <c:numRef>
              <c:f>'revenue breakdown'!$AA$13</c:f>
              <c:numCache>
                <c:formatCode>##,#00</c:formatCode>
                <c:ptCount val="1"/>
                <c:pt idx="0">
                  <c:v>59735.27479000001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7F-4FFF-80E8-26E28B758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662800"/>
        <c:axId val="518663880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'revenue breakdown'!$T$9</c15:sqref>
                        </c15:formulaRef>
                      </c:ext>
                    </c:extLst>
                    <c:strCache>
                      <c:ptCount val="1"/>
                      <c:pt idx="0">
                        <c:v>Force zero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ysClr val="windowText" lastClr="000000"/>
                          </a:solidFill>
                          <a:latin typeface="Times New Roman" panose="02020603050405020304" pitchFamily="18" charset="0"/>
                          <a:ea typeface="+mn-ea"/>
                          <a:cs typeface="Times New Roman" panose="02020603050405020304" pitchFamily="18" charset="0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yVal>
                  <c:numRef>
                    <c:extLst>
                      <c:ext uri="{02D57815-91ED-43cb-92C2-25804820EDAC}">
                        <c15:formulaRef>
                          <c15:sqref>'revenue breakdown'!$U$9:$Z$9</c15:sqref>
                        </c15:formulaRef>
                      </c:ext>
                    </c:extLst>
                    <c:numCache>
                      <c:formatCode>##,#00</c:formatCode>
                      <c:ptCount val="6"/>
                      <c:pt idx="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047F-4FFF-80E8-26E28B758ED6}"/>
                  </c:ext>
                </c:extLst>
              </c15:ser>
            </c15:filteredScatterSeries>
          </c:ext>
        </c:extLst>
      </c:scatterChart>
      <c:catAx>
        <c:axId val="51866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3880"/>
        <c:crosses val="autoZero"/>
        <c:auto val="1"/>
        <c:lblAlgn val="ctr"/>
        <c:lblOffset val="100"/>
        <c:noMultiLvlLbl val="0"/>
      </c:catAx>
      <c:valAx>
        <c:axId val="518663880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1866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7164348606020747"/>
          <c:w val="1"/>
          <c:h val="0.125668159928052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'Condensed milk'!$K$6</c:f>
              <c:strCache>
                <c:ptCount val="1"/>
                <c:pt idx="0">
                  <c:v>2022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6F-48B8-AB4E-C1E291BE65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FA-4064-845C-E6BC02DE75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0FA-4064-845C-E6BC02DE75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FA-4064-845C-E6BC02DE75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0FA-4064-845C-E6BC02DE7515}"/>
              </c:ext>
            </c:extLst>
          </c:dPt>
          <c:dLbls>
            <c:dLbl>
              <c:idx val="1"/>
              <c:layout>
                <c:manualLayout>
                  <c:x val="-7.3855952584507334E-2"/>
                  <c:y val="0.206175298804780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A-4064-845C-E6BC02DE7515}"/>
                </c:ext>
              </c:extLst>
            </c:dLbl>
            <c:dLbl>
              <c:idx val="2"/>
              <c:layout>
                <c:manualLayout>
                  <c:x val="-0.26008659650176758"/>
                  <c:y val="8.117438636804923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FA-4064-845C-E6BC02DE7515}"/>
                </c:ext>
              </c:extLst>
            </c:dLbl>
            <c:dLbl>
              <c:idx val="3"/>
              <c:layout>
                <c:manualLayout>
                  <c:x val="-0.19078750185271498"/>
                  <c:y val="7.827247258675080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FA-4064-845C-E6BC02DE7515}"/>
                </c:ext>
              </c:extLst>
            </c:dLbl>
            <c:dLbl>
              <c:idx val="4"/>
              <c:layout>
                <c:manualLayout>
                  <c:x val="-0.1129428207813214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FA-4064-845C-E6BC02DE75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'Condensed milk'!$J$7:$J$11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Nestlé Vietnam Co Ltd</c:v>
                </c:pt>
                <c:pt idx="3">
                  <c:v>Nutifood Nutrition Food JSC</c:v>
                </c:pt>
                <c:pt idx="4">
                  <c:v>Others</c:v>
                </c:pt>
              </c:strCache>
            </c:strRef>
          </c:cat>
          <c:val>
            <c:numRef>
              <c:f>'Condensed milk'!$K$7:$K$11</c:f>
              <c:numCache>
                <c:formatCode>#,##0.0</c:formatCode>
                <c:ptCount val="5"/>
                <c:pt idx="0">
                  <c:v>82.2</c:v>
                </c:pt>
                <c:pt idx="1">
                  <c:v>12.9</c:v>
                </c:pt>
                <c:pt idx="2">
                  <c:v>1.8</c:v>
                </c:pt>
                <c:pt idx="3">
                  <c:v>1.3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A-4064-845C-E6BC02DE7515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'Condensed milk'!$C$10</c:f>
              <c:strCache>
                <c:ptCount val="1"/>
                <c:pt idx="0">
                  <c:v>Nutifood Nutrition Food JSC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milk'!$E$6:$I$6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'Condensed milk'!$E$10:$I$10</c:f>
              <c:numCache>
                <c:formatCode>#,##0.0</c:formatCode>
                <c:ptCount val="5"/>
                <c:pt idx="0">
                  <c:v>0.7</c:v>
                </c:pt>
                <c:pt idx="1">
                  <c:v>1</c:v>
                </c:pt>
                <c:pt idx="2">
                  <c:v>1.2</c:v>
                </c:pt>
                <c:pt idx="3">
                  <c:v>1.3</c:v>
                </c:pt>
                <c:pt idx="4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0-4C08-A15F-FD7388FD4C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3562408"/>
        <c:axId val="793562768"/>
      </c:barChart>
      <c:catAx>
        <c:axId val="793562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93562768"/>
        <c:crosses val="autoZero"/>
        <c:auto val="1"/>
        <c:lblAlgn val="ctr"/>
        <c:lblOffset val="100"/>
        <c:noMultiLvlLbl val="0"/>
      </c:catAx>
      <c:valAx>
        <c:axId val="793562768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93562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087317198023932E-2"/>
          <c:y val="5.1664583317923951E-2"/>
          <c:w val="0.86267500078888415"/>
          <c:h val="0.726066760848822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'Condensed milk'!$E$6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milk'!$C$7:$C$11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Nestlé Vietnam Co Ltd</c:v>
                </c:pt>
                <c:pt idx="3">
                  <c:v>Nutifood Nutrition Food JSC</c:v>
                </c:pt>
                <c:pt idx="4">
                  <c:v>Others</c:v>
                </c:pt>
              </c:strCache>
            </c:strRef>
          </c:cat>
          <c:val>
            <c:numRef>
              <c:f>'Condensed milk'!$E$7:$E$11</c:f>
              <c:numCache>
                <c:formatCode>#,##0.0</c:formatCode>
                <c:ptCount val="5"/>
                <c:pt idx="0">
                  <c:v>79.8</c:v>
                </c:pt>
                <c:pt idx="1">
                  <c:v>15.9</c:v>
                </c:pt>
                <c:pt idx="2">
                  <c:v>1.9</c:v>
                </c:pt>
                <c:pt idx="3">
                  <c:v>0.7</c:v>
                </c:pt>
                <c:pt idx="4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58-4F18-9D52-39A3EF3AC302}"/>
            </c:ext>
          </c:extLst>
        </c:ser>
        <c:ser>
          <c:idx val="1"/>
          <c:order val="1"/>
          <c:tx>
            <c:strRef>
              <c:f>'Condensed milk'!$F$6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milk'!$C$7:$C$11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Nestlé Vietnam Co Ltd</c:v>
                </c:pt>
                <c:pt idx="3">
                  <c:v>Nutifood Nutrition Food JSC</c:v>
                </c:pt>
                <c:pt idx="4">
                  <c:v>Others</c:v>
                </c:pt>
              </c:strCache>
            </c:strRef>
          </c:cat>
          <c:val>
            <c:numRef>
              <c:f>'Condensed milk'!$F$7:$F$11</c:f>
              <c:numCache>
                <c:formatCode>#,##0.0</c:formatCode>
                <c:ptCount val="5"/>
                <c:pt idx="0">
                  <c:v>81.599999999999994</c:v>
                </c:pt>
                <c:pt idx="1">
                  <c:v>13.9</c:v>
                </c:pt>
                <c:pt idx="2">
                  <c:v>1.8</c:v>
                </c:pt>
                <c:pt idx="3">
                  <c:v>1</c:v>
                </c:pt>
                <c:pt idx="4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8-4F18-9D52-39A3EF3AC302}"/>
            </c:ext>
          </c:extLst>
        </c:ser>
        <c:ser>
          <c:idx val="2"/>
          <c:order val="2"/>
          <c:tx>
            <c:strRef>
              <c:f>'Condensed milk'!$G$6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milk'!$C$7:$C$11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Nestlé Vietnam Co Ltd</c:v>
                </c:pt>
                <c:pt idx="3">
                  <c:v>Nutifood Nutrition Food JSC</c:v>
                </c:pt>
                <c:pt idx="4">
                  <c:v>Others</c:v>
                </c:pt>
              </c:strCache>
            </c:strRef>
          </c:cat>
          <c:val>
            <c:numRef>
              <c:f>'Condensed milk'!$G$7:$G$11</c:f>
              <c:numCache>
                <c:formatCode>#,##0.0</c:formatCode>
                <c:ptCount val="5"/>
                <c:pt idx="0">
                  <c:v>82</c:v>
                </c:pt>
                <c:pt idx="1">
                  <c:v>13.2</c:v>
                </c:pt>
                <c:pt idx="2">
                  <c:v>1.8</c:v>
                </c:pt>
                <c:pt idx="3">
                  <c:v>1.2</c:v>
                </c:pt>
                <c:pt idx="4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58-4F18-9D52-39A3EF3AC302}"/>
            </c:ext>
          </c:extLst>
        </c:ser>
        <c:ser>
          <c:idx val="3"/>
          <c:order val="3"/>
          <c:tx>
            <c:strRef>
              <c:f>'Condensed milk'!$H$6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milk'!$C$7:$C$11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Nestlé Vietnam Co Ltd</c:v>
                </c:pt>
                <c:pt idx="3">
                  <c:v>Nutifood Nutrition Food JSC</c:v>
                </c:pt>
                <c:pt idx="4">
                  <c:v>Others</c:v>
                </c:pt>
              </c:strCache>
            </c:strRef>
          </c:cat>
          <c:val>
            <c:numRef>
              <c:f>'Condensed milk'!$H$7:$H$11</c:f>
              <c:numCache>
                <c:formatCode>#,##0.0</c:formatCode>
                <c:ptCount val="5"/>
                <c:pt idx="0">
                  <c:v>82.2</c:v>
                </c:pt>
                <c:pt idx="1">
                  <c:v>12.9</c:v>
                </c:pt>
                <c:pt idx="2">
                  <c:v>1.8</c:v>
                </c:pt>
                <c:pt idx="3">
                  <c:v>1.3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F-4D1B-B5E3-B67899657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7650784"/>
        <c:axId val="717646824"/>
      </c:barChart>
      <c:catAx>
        <c:axId val="7176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7646824"/>
        <c:crosses val="autoZero"/>
        <c:auto val="1"/>
        <c:lblAlgn val="ctr"/>
        <c:lblOffset val="100"/>
        <c:noMultiLvlLbl val="0"/>
      </c:catAx>
      <c:valAx>
        <c:axId val="717646824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76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'Condensed milk'!$D$41</c:f>
              <c:strCache>
                <c:ptCount val="1"/>
                <c:pt idx="0">
                  <c:v>2018 - 2022 CAGR %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milk'!$C$42:$C$47</c:f>
              <c:strCache>
                <c:ptCount val="6"/>
                <c:pt idx="0">
                  <c:v>Vietnam Dairy Products JSC (Vinamilk)</c:v>
                </c:pt>
                <c:pt idx="1">
                  <c:v>Royal FrieslandCampina NV</c:v>
                </c:pt>
                <c:pt idx="2">
                  <c:v>Nestlé SA</c:v>
                </c:pt>
                <c:pt idx="3">
                  <c:v>Nutifood Nutrition Food JSC</c:v>
                </c:pt>
                <c:pt idx="4">
                  <c:v>Others</c:v>
                </c:pt>
                <c:pt idx="5">
                  <c:v>Average</c:v>
                </c:pt>
              </c:strCache>
            </c:strRef>
          </c:cat>
          <c:val>
            <c:numRef>
              <c:f>'Condensed milk'!$D$42:$D$47</c:f>
              <c:numCache>
                <c:formatCode>General</c:formatCode>
                <c:ptCount val="6"/>
                <c:pt idx="0">
                  <c:v>7</c:v>
                </c:pt>
                <c:pt idx="1">
                  <c:v>-0.5</c:v>
                </c:pt>
                <c:pt idx="2">
                  <c:v>4.3</c:v>
                </c:pt>
                <c:pt idx="3">
                  <c:v>37.9</c:v>
                </c:pt>
                <c:pt idx="4">
                  <c:v>7</c:v>
                </c:pt>
                <c:pt idx="5">
                  <c:v>11.14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35-40CD-94EE-7C0B2BADD9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679845128"/>
        <c:axId val="679840448"/>
      </c:barChart>
      <c:catAx>
        <c:axId val="679845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9840448"/>
        <c:crosses val="autoZero"/>
        <c:auto val="1"/>
        <c:lblAlgn val="ctr"/>
        <c:lblOffset val="100"/>
        <c:noMultiLvlLbl val="0"/>
      </c:catAx>
      <c:valAx>
        <c:axId val="67984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9845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914260717410323E-2"/>
          <c:y val="5.0925925925925923E-2"/>
          <c:w val="0.8787524059492563"/>
          <c:h val="0.630632837561971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'Condensed milk'!$C$73</c:f>
              <c:strCache>
                <c:ptCount val="1"/>
                <c:pt idx="0">
                  <c:v>Ngoi Sao Phuong Nam (Vinamilk)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milk'!$D$73:$H$73</c:f>
              <c:numCache>
                <c:formatCode>General</c:formatCode>
                <c:ptCount val="5"/>
                <c:pt idx="0">
                  <c:v>44.3</c:v>
                </c:pt>
                <c:pt idx="1">
                  <c:v>44.9</c:v>
                </c:pt>
                <c:pt idx="2">
                  <c:v>46.1</c:v>
                </c:pt>
                <c:pt idx="3">
                  <c:v>46.6</c:v>
                </c:pt>
                <c:pt idx="4">
                  <c:v>46.8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B-4E89-B064-C7868EAB153E}"/>
            </c:ext>
          </c:extLst>
        </c:ser>
        <c:ser>
          <c:idx val="1"/>
          <c:order val="1"/>
          <c:tx>
            <c:strRef>
              <c:f>'Condensed milk'!$C$74</c:f>
              <c:strCache>
                <c:ptCount val="1"/>
                <c:pt idx="0">
                  <c:v>Ong Tho (Vinamilk)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milk'!$D$74:$H$74</c:f>
              <c:numCache>
                <c:formatCode>General</c:formatCode>
                <c:ptCount val="5"/>
                <c:pt idx="0">
                  <c:v>35</c:v>
                </c:pt>
                <c:pt idx="1">
                  <c:v>35</c:v>
                </c:pt>
                <c:pt idx="2">
                  <c:v>35.5</c:v>
                </c:pt>
                <c:pt idx="3">
                  <c:v>35.5</c:v>
                </c:pt>
                <c:pt idx="4">
                  <c:v>35.4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3B-4E89-B064-C7868EAB153E}"/>
            </c:ext>
          </c:extLst>
        </c:ser>
        <c:ser>
          <c:idx val="2"/>
          <c:order val="2"/>
          <c:tx>
            <c:strRef>
              <c:f>'Condensed milk'!$C$75</c:f>
              <c:strCache>
                <c:ptCount val="1"/>
                <c:pt idx="0">
                  <c:v>Dutch Lady (Royal FrieslandCampina NV)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milk'!$D$75:$H$75</c:f>
              <c:numCache>
                <c:formatCode>General</c:formatCode>
                <c:ptCount val="5"/>
                <c:pt idx="0">
                  <c:v>8.4</c:v>
                </c:pt>
                <c:pt idx="1">
                  <c:v>8.1</c:v>
                </c:pt>
                <c:pt idx="2">
                  <c:v>7</c:v>
                </c:pt>
                <c:pt idx="3">
                  <c:v>6.9</c:v>
                </c:pt>
                <c:pt idx="4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3B-4E89-B064-C7868EAB153E}"/>
            </c:ext>
          </c:extLst>
        </c:ser>
        <c:ser>
          <c:idx val="3"/>
          <c:order val="3"/>
          <c:tx>
            <c:strRef>
              <c:f>'Condensed milk'!$C$76</c:f>
              <c:strCache>
                <c:ptCount val="1"/>
                <c:pt idx="0">
                  <c:v>Hoan Hao (Royal FrieslandCampina NV)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milk'!$D$76:$H$76</c:f>
              <c:numCache>
                <c:formatCode>General</c:formatCode>
                <c:ptCount val="5"/>
                <c:pt idx="0">
                  <c:v>8.1999999999999993</c:v>
                </c:pt>
                <c:pt idx="1">
                  <c:v>7.8</c:v>
                </c:pt>
                <c:pt idx="2">
                  <c:v>6.9</c:v>
                </c:pt>
                <c:pt idx="3">
                  <c:v>6.3</c:v>
                </c:pt>
                <c:pt idx="4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3B-4E89-B064-C7868EAB153E}"/>
            </c:ext>
          </c:extLst>
        </c:ser>
        <c:ser>
          <c:idx val="4"/>
          <c:order val="4"/>
          <c:tx>
            <c:strRef>
              <c:f>'Condensed milk'!$C$77</c:f>
              <c:strCache>
                <c:ptCount val="1"/>
                <c:pt idx="0">
                  <c:v>Coffee-mate (Nestlé SA)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milk'!$D$77:$H$77</c:f>
              <c:numCache>
                <c:formatCode>General</c:formatCode>
                <c:ptCount val="5"/>
                <c:pt idx="0">
                  <c:v>1.9</c:v>
                </c:pt>
                <c:pt idx="1">
                  <c:v>1.9</c:v>
                </c:pt>
                <c:pt idx="2">
                  <c:v>1.8</c:v>
                </c:pt>
                <c:pt idx="3">
                  <c:v>1.8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3B-4E89-B064-C7868EAB153E}"/>
            </c:ext>
          </c:extLst>
        </c:ser>
        <c:ser>
          <c:idx val="5"/>
          <c:order val="5"/>
          <c:tx>
            <c:strRef>
              <c:f>'Condensed milk'!$C$78</c:f>
              <c:strCache>
                <c:ptCount val="1"/>
                <c:pt idx="0">
                  <c:v>Nuti (Nutifood Nutrition Food JSC)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milk'!$D$78:$H$78</c:f>
              <c:numCache>
                <c:formatCode>General</c:formatCode>
                <c:ptCount val="5"/>
                <c:pt idx="0">
                  <c:v>0.4</c:v>
                </c:pt>
                <c:pt idx="1">
                  <c:v>0.7</c:v>
                </c:pt>
                <c:pt idx="2">
                  <c:v>1</c:v>
                </c:pt>
                <c:pt idx="3">
                  <c:v>1.2</c:v>
                </c:pt>
                <c:pt idx="4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3B-4E89-B064-C7868EAB153E}"/>
            </c:ext>
          </c:extLst>
        </c:ser>
        <c:ser>
          <c:idx val="6"/>
          <c:order val="6"/>
          <c:tx>
            <c:strRef>
              <c:f>'Condensed milk'!$C$79</c:f>
              <c:strCache>
                <c:ptCount val="1"/>
                <c:pt idx="0">
                  <c:v>Others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'Condensed milk'!$D$72:$H$72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'Condensed milk'!$D$79:$H$79</c:f>
              <c:numCache>
                <c:formatCode>General</c:formatCode>
                <c:ptCount val="5"/>
                <c:pt idx="0">
                  <c:v>1.7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3B-4E89-B064-C7868EAB1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0367544"/>
        <c:axId val="730369704"/>
      </c:barChart>
      <c:catAx>
        <c:axId val="730367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0369704"/>
        <c:crosses val="autoZero"/>
        <c:auto val="1"/>
        <c:lblAlgn val="ctr"/>
        <c:lblOffset val="100"/>
        <c:noMultiLvlLbl val="0"/>
      </c:catAx>
      <c:valAx>
        <c:axId val="730369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0367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6099154272382619"/>
          <c:w val="0.99456299212598442"/>
          <c:h val="0.23900845727617381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'Condensed milk'!$N$84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'Condensed milk'!$M$85:$M$88</c:f>
              <c:strCache>
                <c:ptCount val="4"/>
                <c:pt idx="0">
                  <c:v>Ngoi Sao Phuong Nam</c:v>
                </c:pt>
                <c:pt idx="1">
                  <c:v>Ong Tho</c:v>
                </c:pt>
                <c:pt idx="2">
                  <c:v>Dutch Lady</c:v>
                </c:pt>
                <c:pt idx="3">
                  <c:v>Hoan Hao</c:v>
                </c:pt>
              </c:strCache>
            </c:strRef>
          </c:cat>
          <c:val>
            <c:numRef>
              <c:f>'Condensed milk'!$N$85:$N$88</c:f>
              <c:numCache>
                <c:formatCode>_(* #,##0.00_);_(* \(#,##0.00\);_(* "-"??_);_(@_)</c:formatCode>
                <c:ptCount val="4"/>
                <c:pt idx="0">
                  <c:v>3329.3221999999996</c:v>
                </c:pt>
                <c:pt idx="1">
                  <c:v>2630.39</c:v>
                </c:pt>
                <c:pt idx="2">
                  <c:v>631.29359999999997</c:v>
                </c:pt>
                <c:pt idx="3">
                  <c:v>616.26279999999997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DA-4B64-B5EF-50615DF74D0B}"/>
            </c:ext>
          </c:extLst>
        </c:ser>
        <c:ser>
          <c:idx val="1"/>
          <c:order val="1"/>
          <c:tx>
            <c:strRef>
              <c:f>'Condensed milk'!$O$84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'Condensed milk'!$M$85:$M$88</c:f>
              <c:strCache>
                <c:ptCount val="4"/>
                <c:pt idx="0">
                  <c:v>Ngoi Sao Phuong Nam</c:v>
                </c:pt>
                <c:pt idx="1">
                  <c:v>Ong Tho</c:v>
                </c:pt>
                <c:pt idx="2">
                  <c:v>Dutch Lady</c:v>
                </c:pt>
                <c:pt idx="3">
                  <c:v>Hoan Hao</c:v>
                </c:pt>
              </c:strCache>
            </c:strRef>
          </c:cat>
          <c:val>
            <c:numRef>
              <c:f>'Condensed milk'!$O$85:$O$88</c:f>
              <c:numCache>
                <c:formatCode>_(* #,##0.00_);_(* \(#,##0.00\);_(* "-"??_);_(@_)</c:formatCode>
                <c:ptCount val="4"/>
                <c:pt idx="0">
                  <c:v>3676.3670999999995</c:v>
                </c:pt>
                <c:pt idx="1">
                  <c:v>2865.7649999999999</c:v>
                </c:pt>
                <c:pt idx="2">
                  <c:v>663.21989999999994</c:v>
                </c:pt>
                <c:pt idx="3">
                  <c:v>638.6561999999999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DA-4B64-B5EF-50615DF74D0B}"/>
            </c:ext>
          </c:extLst>
        </c:ser>
        <c:ser>
          <c:idx val="2"/>
          <c:order val="2"/>
          <c:tx>
            <c:strRef>
              <c:f>'Condensed milk'!$P$84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'Condensed milk'!$M$85:$M$88</c:f>
              <c:strCache>
                <c:ptCount val="4"/>
                <c:pt idx="0">
                  <c:v>Ngoi Sao Phuong Nam</c:v>
                </c:pt>
                <c:pt idx="1">
                  <c:v>Ong Tho</c:v>
                </c:pt>
                <c:pt idx="2">
                  <c:v>Dutch Lady</c:v>
                </c:pt>
                <c:pt idx="3">
                  <c:v>Hoan Hao</c:v>
                </c:pt>
              </c:strCache>
            </c:strRef>
          </c:cat>
          <c:val>
            <c:numRef>
              <c:f>'Condensed milk'!$P$85:$P$88</c:f>
              <c:numCache>
                <c:formatCode>_(* #,##0.00_);_(* \(#,##0.00\);_(* "-"??_);_(@_)</c:formatCode>
                <c:ptCount val="4"/>
                <c:pt idx="0">
                  <c:v>4038.0373</c:v>
                </c:pt>
                <c:pt idx="1">
                  <c:v>3109.5514999999996</c:v>
                </c:pt>
                <c:pt idx="2">
                  <c:v>613.15099999999995</c:v>
                </c:pt>
                <c:pt idx="3">
                  <c:v>604.39170000000001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DA-4B64-B5EF-50615DF74D0B}"/>
            </c:ext>
          </c:extLst>
        </c:ser>
        <c:ser>
          <c:idx val="3"/>
          <c:order val="3"/>
          <c:tx>
            <c:strRef>
              <c:f>'Condensed milk'!$Q$84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'Condensed milk'!$M$85:$M$88</c:f>
              <c:strCache>
                <c:ptCount val="4"/>
                <c:pt idx="0">
                  <c:v>Ngoi Sao Phuong Nam</c:v>
                </c:pt>
                <c:pt idx="1">
                  <c:v>Ong Tho</c:v>
                </c:pt>
                <c:pt idx="2">
                  <c:v>Dutch Lady</c:v>
                </c:pt>
                <c:pt idx="3">
                  <c:v>Hoan Hao</c:v>
                </c:pt>
              </c:strCache>
            </c:strRef>
          </c:cat>
          <c:val>
            <c:numRef>
              <c:f>'Condensed milk'!$Q$85:$Q$88</c:f>
              <c:numCache>
                <c:formatCode>_(* #,##0.00_);_(* \(#,##0.00\);_(* "-"??_);_(@_)</c:formatCode>
                <c:ptCount val="4"/>
                <c:pt idx="0">
                  <c:v>4204.6714000000002</c:v>
                </c:pt>
                <c:pt idx="1">
                  <c:v>3203.1295</c:v>
                </c:pt>
                <c:pt idx="2">
                  <c:v>622.58010000000002</c:v>
                </c:pt>
                <c:pt idx="3">
                  <c:v>568.44269999999995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DA-4B64-B5EF-50615DF74D0B}"/>
            </c:ext>
          </c:extLst>
        </c:ser>
        <c:ser>
          <c:idx val="4"/>
          <c:order val="4"/>
          <c:tx>
            <c:strRef>
              <c:f>'Condensed milk'!$R$84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'Condensed milk'!$M$85:$M$88</c:f>
              <c:strCache>
                <c:ptCount val="4"/>
                <c:pt idx="0">
                  <c:v>Ngoi Sao Phuong Nam</c:v>
                </c:pt>
                <c:pt idx="1">
                  <c:v>Ong Tho</c:v>
                </c:pt>
                <c:pt idx="2">
                  <c:v>Dutch Lady</c:v>
                </c:pt>
                <c:pt idx="3">
                  <c:v>Hoan Hao</c:v>
                </c:pt>
              </c:strCache>
            </c:strRef>
          </c:cat>
          <c:val>
            <c:numRef>
              <c:f>'Condensed milk'!$R$85:$R$88</c:f>
              <c:numCache>
                <c:formatCode>_(* #,##0.00_);_(* \(#,##0.00\);_(* "-"??_);_(@_)</c:formatCode>
                <c:ptCount val="4"/>
                <c:pt idx="0">
                  <c:v>4442.4431999999997</c:v>
                </c:pt>
                <c:pt idx="1">
                  <c:v>3360.3095999999996</c:v>
                </c:pt>
                <c:pt idx="2">
                  <c:v>645.4831999999999</c:v>
                </c:pt>
                <c:pt idx="3">
                  <c:v>579.03639999999996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DA-4B64-B5EF-50615DF74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074288"/>
        <c:axId val="859068168"/>
      </c:barChart>
      <c:catAx>
        <c:axId val="8590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68168"/>
        <c:crosses val="autoZero"/>
        <c:auto val="1"/>
        <c:lblAlgn val="ctr"/>
        <c:lblOffset val="100"/>
        <c:noMultiLvlLbl val="0"/>
      </c:catAx>
      <c:valAx>
        <c:axId val="8590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0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'Condensed milk'!$O$84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milk'!$M$85:$M$86</c:f>
              <c:strCache>
                <c:ptCount val="2"/>
                <c:pt idx="0">
                  <c:v>Ngoi Sao Phuong Nam</c:v>
                </c:pt>
                <c:pt idx="1">
                  <c:v>Ong Tho</c:v>
                </c:pt>
              </c:strCache>
            </c:strRef>
          </c:cat>
          <c:val>
            <c:numRef>
              <c:f>'Condensed milk'!$O$85:$O$86</c:f>
              <c:numCache>
                <c:formatCode>_(* #,##0.00_);_(* \(#,##0.00\);_(* "-"??_);_(@_)</c:formatCode>
                <c:ptCount val="2"/>
                <c:pt idx="0">
                  <c:v>3676.3670999999995</c:v>
                </c:pt>
                <c:pt idx="1">
                  <c:v>2865.7649999999999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6-432F-993C-EE2570F12D1D}"/>
            </c:ext>
          </c:extLst>
        </c:ser>
        <c:ser>
          <c:idx val="1"/>
          <c:order val="1"/>
          <c:tx>
            <c:strRef>
              <c:f>'Condensed milk'!$P$84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milk'!$M$85:$M$86</c:f>
              <c:strCache>
                <c:ptCount val="2"/>
                <c:pt idx="0">
                  <c:v>Ngoi Sao Phuong Nam</c:v>
                </c:pt>
                <c:pt idx="1">
                  <c:v>Ong Tho</c:v>
                </c:pt>
              </c:strCache>
            </c:strRef>
          </c:cat>
          <c:val>
            <c:numRef>
              <c:f>'Condensed milk'!$P$85:$P$86</c:f>
              <c:numCache>
                <c:formatCode>_(* #,##0.00_);_(* \(#,##0.00\);_(* "-"??_);_(@_)</c:formatCode>
                <c:ptCount val="2"/>
                <c:pt idx="0">
                  <c:v>4038.0373</c:v>
                </c:pt>
                <c:pt idx="1">
                  <c:v>3109.5514999999996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6-432F-993C-EE2570F12D1D}"/>
            </c:ext>
          </c:extLst>
        </c:ser>
        <c:ser>
          <c:idx val="2"/>
          <c:order val="2"/>
          <c:tx>
            <c:strRef>
              <c:f>'Condensed milk'!$Q$84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milk'!$M$85:$M$86</c:f>
              <c:strCache>
                <c:ptCount val="2"/>
                <c:pt idx="0">
                  <c:v>Ngoi Sao Phuong Nam</c:v>
                </c:pt>
                <c:pt idx="1">
                  <c:v>Ong Tho</c:v>
                </c:pt>
              </c:strCache>
            </c:strRef>
          </c:cat>
          <c:val>
            <c:numRef>
              <c:f>'Condensed milk'!$Q$85:$Q$86</c:f>
              <c:numCache>
                <c:formatCode>_(* #,##0.00_);_(* \(#,##0.00\);_(* "-"??_);_(@_)</c:formatCode>
                <c:ptCount val="2"/>
                <c:pt idx="0">
                  <c:v>4204.6714000000002</c:v>
                </c:pt>
                <c:pt idx="1">
                  <c:v>3203.1295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6-432F-993C-EE2570F12D1D}"/>
            </c:ext>
          </c:extLst>
        </c:ser>
        <c:ser>
          <c:idx val="3"/>
          <c:order val="3"/>
          <c:tx>
            <c:strRef>
              <c:f>'Condensed milk'!$R$84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'Condensed milk'!$M$85:$M$86</c:f>
              <c:strCache>
                <c:ptCount val="2"/>
                <c:pt idx="0">
                  <c:v>Ngoi Sao Phuong Nam</c:v>
                </c:pt>
                <c:pt idx="1">
                  <c:v>Ong Tho</c:v>
                </c:pt>
              </c:strCache>
            </c:strRef>
          </c:cat>
          <c:val>
            <c:numRef>
              <c:f>'Condensed milk'!$R$85:$R$86</c:f>
              <c:numCache>
                <c:formatCode>_(* #,##0.00_);_(* \(#,##0.00\);_(* "-"??_);_(@_)</c:formatCode>
                <c:ptCount val="2"/>
                <c:pt idx="0">
                  <c:v>4442.4431999999997</c:v>
                </c:pt>
                <c:pt idx="1">
                  <c:v>3360.3095999999996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D-4F68-A773-EB4925CC1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7288143"/>
        <c:axId val="182795327"/>
      </c:barChart>
      <c:catAx>
        <c:axId val="2172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95327"/>
        <c:crosses val="autoZero"/>
        <c:auto val="1"/>
        <c:lblAlgn val="ctr"/>
        <c:lblOffset val="100"/>
        <c:noMultiLvlLbl val="0"/>
      </c:catAx>
      <c:valAx>
        <c:axId val="182795327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728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'yogurt and sour milk'!$U$6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5A6-4C40-887E-1B9D7A3A69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5A6-4C40-887E-1B9D7A3A69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5A6-4C40-887E-1B9D7A3A69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5A6-4C40-887E-1B9D7A3A69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5A6-4C40-887E-1B9D7A3A6991}"/>
              </c:ext>
            </c:extLst>
          </c:dPt>
          <c:dLbls>
            <c:dLbl>
              <c:idx val="0"/>
              <c:layout>
                <c:manualLayout>
                  <c:x val="-0.21574302784480989"/>
                  <c:y val="-0.136849689387015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A6-4C40-887E-1B9D7A3A6991}"/>
                </c:ext>
              </c:extLst>
            </c:dLbl>
            <c:dLbl>
              <c:idx val="2"/>
              <c:layout>
                <c:manualLayout>
                  <c:x val="0.22588814857654893"/>
                  <c:y val="3.69172758599732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1260000" spcFirstLastPara="1" vertOverflow="ellipsis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05555555555556"/>
                      <c:h val="0.141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5A6-4C40-887E-1B9D7A3A6991}"/>
                </c:ext>
              </c:extLst>
            </c:dLbl>
            <c:dLbl>
              <c:idx val="3"/>
              <c:layout>
                <c:manualLayout>
                  <c:x val="0.17358226400773313"/>
                  <c:y val="0.174710738997306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2520000" spcFirstLastPara="1" vertOverflow="overflow" horzOverflow="overflow" wrap="square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80567665436156"/>
                      <c:h val="0.22506001896061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75A6-4C40-887E-1B9D7A3A69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'yogurt and sour milk'!$T$7:$T$11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Others</c:v>
                </c:pt>
              </c:strCache>
            </c:strRef>
          </c:cat>
          <c:val>
            <c:numRef>
              <c:f>'yogurt and sour milk'!$U$7:$U$11</c:f>
              <c:numCache>
                <c:formatCode>General</c:formatCode>
                <c:ptCount val="5"/>
                <c:pt idx="0">
                  <c:v>62.5</c:v>
                </c:pt>
                <c:pt idx="1">
                  <c:v>11.8</c:v>
                </c:pt>
                <c:pt idx="2">
                  <c:v>7.5</c:v>
                </c:pt>
                <c:pt idx="3">
                  <c:v>7.3</c:v>
                </c:pt>
                <c:pt idx="4">
                  <c:v>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A6-4C40-887E-1B9D7A3A699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'yogurt and sour milk'!$D$45</c:f>
              <c:strCache>
                <c:ptCount val="1"/>
                <c:pt idx="0">
                  <c:v>2018 - 2022 CAGR 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'yogurt and sour milk'!$C$46:$C$53</c:f>
              <c:strCache>
                <c:ptCount val="8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International Dairy Products JSC (IDP)</c:v>
                </c:pt>
                <c:pt idx="5">
                  <c:v>Nutifood Nutrition Food JSC</c:v>
                </c:pt>
                <c:pt idx="6">
                  <c:v>Others</c:v>
                </c:pt>
                <c:pt idx="7">
                  <c:v>Average</c:v>
                </c:pt>
              </c:strCache>
            </c:strRef>
          </c:cat>
          <c:val>
            <c:numRef>
              <c:f>'yogurt and sour milk'!$D$46:$D$53</c:f>
              <c:numCache>
                <c:formatCode>0.00%</c:formatCode>
                <c:ptCount val="8"/>
                <c:pt idx="0">
                  <c:v>9.5000000000000001E-2</c:v>
                </c:pt>
                <c:pt idx="1">
                  <c:v>5.4000000000000006E-2</c:v>
                </c:pt>
                <c:pt idx="2">
                  <c:v>0.307</c:v>
                </c:pt>
                <c:pt idx="3">
                  <c:v>0.19600000000000001</c:v>
                </c:pt>
                <c:pt idx="4">
                  <c:v>0.111</c:v>
                </c:pt>
                <c:pt idx="5">
                  <c:v>0.188</c:v>
                </c:pt>
                <c:pt idx="6">
                  <c:v>0.115</c:v>
                </c:pt>
                <c:pt idx="7">
                  <c:v>0.1522857142857143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B-4AF2-8DE3-E423679809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5300576"/>
        <c:axId val="1025300936"/>
      </c:barChart>
      <c:catAx>
        <c:axId val="102530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5300936"/>
        <c:crosses val="autoZero"/>
        <c:auto val="1"/>
        <c:lblAlgn val="ctr"/>
        <c:lblOffset val="100"/>
        <c:noMultiLvlLbl val="0"/>
      </c:catAx>
      <c:valAx>
        <c:axId val="1025300936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53005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8502266105843E-2"/>
          <c:y val="4.8165977565953581E-2"/>
          <c:w val="0.90814907204340001"/>
          <c:h val="0.799197712692901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'yogurt and sour milk'!$M$6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milk'!$M$7:$M$13</c:f>
              <c:numCache>
                <c:formatCode>#,##0.0</c:formatCode>
                <c:ptCount val="7"/>
                <c:pt idx="0">
                  <c:v>66.8</c:v>
                </c:pt>
                <c:pt idx="1">
                  <c:v>14.5</c:v>
                </c:pt>
                <c:pt idx="2">
                  <c:v>3.5</c:v>
                </c:pt>
                <c:pt idx="3">
                  <c:v>5</c:v>
                </c:pt>
                <c:pt idx="4">
                  <c:v>4.2</c:v>
                </c:pt>
                <c:pt idx="5">
                  <c:v>2</c:v>
                </c:pt>
                <c:pt idx="6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D-4EB5-ABFF-C6EF127E205F}"/>
            </c:ext>
          </c:extLst>
        </c:ser>
        <c:ser>
          <c:idx val="1"/>
          <c:order val="1"/>
          <c:tx>
            <c:strRef>
              <c:f>'yogurt and sour milk'!$N$6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milk'!$N$7:$N$13</c:f>
              <c:numCache>
                <c:formatCode>#,##0.0</c:formatCode>
                <c:ptCount val="7"/>
                <c:pt idx="0">
                  <c:v>66</c:v>
                </c:pt>
                <c:pt idx="1">
                  <c:v>13.8</c:v>
                </c:pt>
                <c:pt idx="2">
                  <c:v>3.9</c:v>
                </c:pt>
                <c:pt idx="3">
                  <c:v>5.3</c:v>
                </c:pt>
                <c:pt idx="4">
                  <c:v>3.9</c:v>
                </c:pt>
                <c:pt idx="5">
                  <c:v>2.2000000000000002</c:v>
                </c:pt>
                <c:pt idx="6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D-4EB5-ABFF-C6EF127E205F}"/>
            </c:ext>
          </c:extLst>
        </c:ser>
        <c:ser>
          <c:idx val="2"/>
          <c:order val="2"/>
          <c:tx>
            <c:strRef>
              <c:f>'yogurt and sour milk'!$O$6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milk'!$O$7:$O$13</c:f>
              <c:numCache>
                <c:formatCode>#,##0.0</c:formatCode>
                <c:ptCount val="7"/>
                <c:pt idx="0">
                  <c:v>65.8</c:v>
                </c:pt>
                <c:pt idx="1">
                  <c:v>12.8</c:v>
                </c:pt>
                <c:pt idx="2">
                  <c:v>4.4000000000000004</c:v>
                </c:pt>
                <c:pt idx="3">
                  <c:v>5.6</c:v>
                </c:pt>
                <c:pt idx="4">
                  <c:v>3.9</c:v>
                </c:pt>
                <c:pt idx="5">
                  <c:v>2.5</c:v>
                </c:pt>
                <c:pt idx="6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4D-4EB5-ABFF-C6EF127E205F}"/>
            </c:ext>
          </c:extLst>
        </c:ser>
        <c:ser>
          <c:idx val="3"/>
          <c:order val="3"/>
          <c:tx>
            <c:strRef>
              <c:f>'yogurt and sour milk'!$P$6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milk'!$P$7:$P$13</c:f>
              <c:numCache>
                <c:formatCode>#,##0.0</c:formatCode>
                <c:ptCount val="7"/>
                <c:pt idx="0">
                  <c:v>65.5</c:v>
                </c:pt>
                <c:pt idx="1">
                  <c:v>12.2</c:v>
                </c:pt>
                <c:pt idx="2">
                  <c:v>5.6</c:v>
                </c:pt>
                <c:pt idx="3">
                  <c:v>5.8</c:v>
                </c:pt>
                <c:pt idx="4">
                  <c:v>4</c:v>
                </c:pt>
                <c:pt idx="5">
                  <c:v>2.5</c:v>
                </c:pt>
                <c:pt idx="6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4D-4EB5-ABFF-C6EF127E205F}"/>
            </c:ext>
          </c:extLst>
        </c:ser>
        <c:ser>
          <c:idx val="4"/>
          <c:order val="4"/>
          <c:tx>
            <c:strRef>
              <c:f>'yogurt and sour milk'!$Q$6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milk'!$Q$7:$Q$13</c:f>
              <c:numCache>
                <c:formatCode>#,##0.0</c:formatCode>
                <c:ptCount val="7"/>
                <c:pt idx="0">
                  <c:v>63.6</c:v>
                </c:pt>
                <c:pt idx="1">
                  <c:v>11.9</c:v>
                </c:pt>
                <c:pt idx="2">
                  <c:v>6.9</c:v>
                </c:pt>
                <c:pt idx="3">
                  <c:v>6.8</c:v>
                </c:pt>
                <c:pt idx="4">
                  <c:v>4.2</c:v>
                </c:pt>
                <c:pt idx="5">
                  <c:v>2.6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4D-4EB5-ABFF-C6EF127E2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972236136"/>
        <c:axId val="972235416"/>
      </c:barChart>
      <c:catAx>
        <c:axId val="972236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2235416"/>
        <c:crosses val="autoZero"/>
        <c:auto val="1"/>
        <c:lblAlgn val="ctr"/>
        <c:lblOffset val="100"/>
        <c:noMultiLvlLbl val="0"/>
      </c:catAx>
      <c:valAx>
        <c:axId val="972235416"/>
        <c:scaling>
          <c:orientation val="minMax"/>
          <c:max val="70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2236136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65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'yogurt and sour milk'!$E$78</c:f>
              <c:strCache>
                <c:ptCount val="1"/>
                <c:pt idx="0">
                  <c:v>Vinamilk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milk'!$F$77:$J$77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'yogurt and sour milk'!$F$78:$J$78</c:f>
              <c:numCache>
                <c:formatCode>General</c:formatCode>
                <c:ptCount val="5"/>
                <c:pt idx="0">
                  <c:v>8255.4084000000003</c:v>
                </c:pt>
                <c:pt idx="1">
                  <c:v>9159.0195999999996</c:v>
                </c:pt>
                <c:pt idx="2">
                  <c:v>10011.208199999999</c:v>
                </c:pt>
                <c:pt idx="3">
                  <c:v>10650.24</c:v>
                </c:pt>
                <c:pt idx="4">
                  <c:v>11208.021299999999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D-43B4-B0FB-C6071B0B4635}"/>
            </c:ext>
          </c:extLst>
        </c:ser>
        <c:ser>
          <c:idx val="1"/>
          <c:order val="1"/>
          <c:tx>
            <c:strRef>
              <c:f>'yogurt and sour milk'!$E$79</c:f>
              <c:strCache>
                <c:ptCount val="1"/>
                <c:pt idx="0">
                  <c:v>Susu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milk'!$F$77:$J$77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'yogurt and sour milk'!$F$79:$J$79</c:f>
              <c:numCache>
                <c:formatCode>General</c:formatCode>
                <c:ptCount val="5"/>
                <c:pt idx="0">
                  <c:v>1215.3383999999999</c:v>
                </c:pt>
                <c:pt idx="1">
                  <c:v>1549.2021999999999</c:v>
                </c:pt>
                <c:pt idx="2">
                  <c:v>1842.6701999999996</c:v>
                </c:pt>
                <c:pt idx="3">
                  <c:v>2146.56</c:v>
                </c:pt>
                <c:pt idx="4">
                  <c:v>2237.13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ED-43B4-B0FB-C6071B0B4635}"/>
            </c:ext>
          </c:extLst>
        </c:ser>
        <c:ser>
          <c:idx val="2"/>
          <c:order val="2"/>
          <c:tx>
            <c:strRef>
              <c:f>'yogurt and sour milk'!$E$80</c:f>
              <c:strCache>
                <c:ptCount val="1"/>
                <c:pt idx="0">
                  <c:v>Probi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milk'!$F$77:$J$77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'yogurt and sour milk'!$F$80:$J$80</c:f>
              <c:numCache>
                <c:formatCode>General</c:formatCode>
                <c:ptCount val="5"/>
                <c:pt idx="0">
                  <c:v>429.81480000000005</c:v>
                </c:pt>
                <c:pt idx="1">
                  <c:v>527.75020000000006</c:v>
                </c:pt>
                <c:pt idx="2">
                  <c:v>645.88439999999991</c:v>
                </c:pt>
                <c:pt idx="3">
                  <c:v>743.04</c:v>
                </c:pt>
                <c:pt idx="4">
                  <c:v>782.99549999999999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ED-43B4-B0FB-C6071B0B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0443696"/>
        <c:axId val="710444056"/>
      </c:barChart>
      <c:catAx>
        <c:axId val="71044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0444056"/>
        <c:crosses val="autoZero"/>
        <c:auto val="1"/>
        <c:lblAlgn val="ctr"/>
        <c:lblOffset val="100"/>
        <c:noMultiLvlLbl val="0"/>
      </c:catAx>
      <c:valAx>
        <c:axId val="710444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044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'yogurt and sour milk'!$F$77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'yogurt and sour milk'!$D$78:$E$84</c:f>
              <c:multiLvlStrCache>
                <c:ptCount val="7"/>
                <c:lvl>
                  <c:pt idx="0">
                    <c:v>Vinamilk </c:v>
                  </c:pt>
                  <c:pt idx="1">
                    <c:v>Susu </c:v>
                  </c:pt>
                  <c:pt idx="2">
                    <c:v>Probi</c:v>
                  </c:pt>
                  <c:pt idx="3">
                    <c:v>Yomost</c:v>
                  </c:pt>
                  <c:pt idx="4">
                    <c:v>Dutch Lady</c:v>
                  </c:pt>
                  <c:pt idx="5">
                    <c:v>TH True Yogurt</c:v>
                  </c:pt>
                  <c:pt idx="6">
                    <c:v>Yakult</c:v>
                  </c:pt>
                </c:lvl>
                <c:lvl>
                  <c:pt idx="0">
                    <c:v>Vietnam Dairy Products JSC (Vinamilk)</c:v>
                  </c:pt>
                  <c:pt idx="3">
                    <c:v>FrieslandCampina Vietnam Co Ltd</c:v>
                  </c:pt>
                  <c:pt idx="5">
                    <c:v>TH Food Chain JSC</c:v>
                  </c:pt>
                </c:lvl>
              </c:multiLvlStrCache>
            </c:multiLvlStrRef>
          </c:cat>
          <c:val>
            <c:numRef>
              <c:f>'yogurt and sour milk'!$F$78:$F$84</c:f>
              <c:numCache>
                <c:formatCode>General</c:formatCode>
                <c:ptCount val="7"/>
                <c:pt idx="0">
                  <c:v>8255.4084000000003</c:v>
                </c:pt>
                <c:pt idx="1">
                  <c:v>1215.3383999999999</c:v>
                </c:pt>
                <c:pt idx="2">
                  <c:v>429.81480000000005</c:v>
                </c:pt>
                <c:pt idx="3">
                  <c:v>1837.8288</c:v>
                </c:pt>
                <c:pt idx="4">
                  <c:v>311.24520000000007</c:v>
                </c:pt>
                <c:pt idx="5">
                  <c:v>741.06</c:v>
                </c:pt>
                <c:pt idx="6">
                  <c:v>518.74200000000008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6-4CC9-BDF0-31F71F21D0A6}"/>
            </c:ext>
          </c:extLst>
        </c:ser>
        <c:ser>
          <c:idx val="1"/>
          <c:order val="1"/>
          <c:tx>
            <c:strRef>
              <c:f>'yogurt and sour milk'!$G$77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'yogurt and sour milk'!$D$78:$E$84</c:f>
              <c:multiLvlStrCache>
                <c:ptCount val="7"/>
                <c:lvl>
                  <c:pt idx="0">
                    <c:v>Vinamilk </c:v>
                  </c:pt>
                  <c:pt idx="1">
                    <c:v>Susu </c:v>
                  </c:pt>
                  <c:pt idx="2">
                    <c:v>Probi</c:v>
                  </c:pt>
                  <c:pt idx="3">
                    <c:v>Yomost</c:v>
                  </c:pt>
                  <c:pt idx="4">
                    <c:v>Dutch Lady</c:v>
                  </c:pt>
                  <c:pt idx="5">
                    <c:v>TH True Yogurt</c:v>
                  </c:pt>
                  <c:pt idx="6">
                    <c:v>Yakult</c:v>
                  </c:pt>
                </c:lvl>
                <c:lvl>
                  <c:pt idx="0">
                    <c:v>Vietnam Dairy Products JSC (Vinamilk)</c:v>
                  </c:pt>
                  <c:pt idx="3">
                    <c:v>FrieslandCampina Vietnam Co Ltd</c:v>
                  </c:pt>
                  <c:pt idx="5">
                    <c:v>TH Food Chain JSC</c:v>
                  </c:pt>
                </c:lvl>
              </c:multiLvlStrCache>
            </c:multiLvlStrRef>
          </c:cat>
          <c:val>
            <c:numRef>
              <c:f>'yogurt and sour milk'!$G$78:$G$84</c:f>
              <c:numCache>
                <c:formatCode>General</c:formatCode>
                <c:ptCount val="7"/>
                <c:pt idx="0">
                  <c:v>9159.0195999999996</c:v>
                </c:pt>
                <c:pt idx="1">
                  <c:v>1549.2021999999999</c:v>
                </c:pt>
                <c:pt idx="2">
                  <c:v>527.75020000000006</c:v>
                </c:pt>
                <c:pt idx="3">
                  <c:v>2025.8798000000002</c:v>
                </c:pt>
                <c:pt idx="4">
                  <c:v>323.45979999999997</c:v>
                </c:pt>
                <c:pt idx="5">
                  <c:v>902.2826</c:v>
                </c:pt>
                <c:pt idx="6">
                  <c:v>663.94380000000001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6-4CC9-BDF0-31F71F21D0A6}"/>
            </c:ext>
          </c:extLst>
        </c:ser>
        <c:ser>
          <c:idx val="2"/>
          <c:order val="2"/>
          <c:tx>
            <c:strRef>
              <c:f>'yogurt and sour milk'!$H$77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'yogurt and sour milk'!$D$78:$E$84</c:f>
              <c:multiLvlStrCache>
                <c:ptCount val="7"/>
                <c:lvl>
                  <c:pt idx="0">
                    <c:v>Vinamilk </c:v>
                  </c:pt>
                  <c:pt idx="1">
                    <c:v>Susu </c:v>
                  </c:pt>
                  <c:pt idx="2">
                    <c:v>Probi</c:v>
                  </c:pt>
                  <c:pt idx="3">
                    <c:v>Yomost</c:v>
                  </c:pt>
                  <c:pt idx="4">
                    <c:v>Dutch Lady</c:v>
                  </c:pt>
                  <c:pt idx="5">
                    <c:v>TH True Yogurt</c:v>
                  </c:pt>
                  <c:pt idx="6">
                    <c:v>Yakult</c:v>
                  </c:pt>
                </c:lvl>
                <c:lvl>
                  <c:pt idx="0">
                    <c:v>Vietnam Dairy Products JSC (Vinamilk)</c:v>
                  </c:pt>
                  <c:pt idx="3">
                    <c:v>FrieslandCampina Vietnam Co Ltd</c:v>
                  </c:pt>
                  <c:pt idx="5">
                    <c:v>TH Food Chain JSC</c:v>
                  </c:pt>
                </c:lvl>
              </c:multiLvlStrCache>
            </c:multiLvlStrRef>
          </c:cat>
          <c:val>
            <c:numRef>
              <c:f>'yogurt and sour milk'!$H$78:$H$84</c:f>
              <c:numCache>
                <c:formatCode>General</c:formatCode>
                <c:ptCount val="7"/>
                <c:pt idx="0">
                  <c:v>10011.208199999999</c:v>
                </c:pt>
                <c:pt idx="1">
                  <c:v>1842.6701999999996</c:v>
                </c:pt>
                <c:pt idx="2">
                  <c:v>645.88439999999991</c:v>
                </c:pt>
                <c:pt idx="3">
                  <c:v>2089.6259999999997</c:v>
                </c:pt>
                <c:pt idx="4">
                  <c:v>341.93879999999996</c:v>
                </c:pt>
                <c:pt idx="5">
                  <c:v>1063.8095999999998</c:v>
                </c:pt>
                <c:pt idx="6">
                  <c:v>835.85039999999992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6-4CC9-BDF0-31F71F21D0A6}"/>
            </c:ext>
          </c:extLst>
        </c:ser>
        <c:ser>
          <c:idx val="3"/>
          <c:order val="3"/>
          <c:tx>
            <c:strRef>
              <c:f>'yogurt and sour milk'!$I$77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'yogurt and sour milk'!$D$78:$E$84</c:f>
              <c:multiLvlStrCache>
                <c:ptCount val="7"/>
                <c:lvl>
                  <c:pt idx="0">
                    <c:v>Vinamilk </c:v>
                  </c:pt>
                  <c:pt idx="1">
                    <c:v>Susu </c:v>
                  </c:pt>
                  <c:pt idx="2">
                    <c:v>Probi</c:v>
                  </c:pt>
                  <c:pt idx="3">
                    <c:v>Yomost</c:v>
                  </c:pt>
                  <c:pt idx="4">
                    <c:v>Dutch Lady</c:v>
                  </c:pt>
                  <c:pt idx="5">
                    <c:v>TH True Yogurt</c:v>
                  </c:pt>
                  <c:pt idx="6">
                    <c:v>Yakult</c:v>
                  </c:pt>
                </c:lvl>
                <c:lvl>
                  <c:pt idx="0">
                    <c:v>Vietnam Dairy Products JSC (Vinamilk)</c:v>
                  </c:pt>
                  <c:pt idx="3">
                    <c:v>FrieslandCampina Vietnam Co Ltd</c:v>
                  </c:pt>
                  <c:pt idx="5">
                    <c:v>TH Food Chain JSC</c:v>
                  </c:pt>
                </c:lvl>
              </c:multiLvlStrCache>
            </c:multiLvlStrRef>
          </c:cat>
          <c:val>
            <c:numRef>
              <c:f>'yogurt and sour milk'!$I$78:$I$84</c:f>
              <c:numCache>
                <c:formatCode>General</c:formatCode>
                <c:ptCount val="7"/>
                <c:pt idx="0">
                  <c:v>10650.24</c:v>
                </c:pt>
                <c:pt idx="1">
                  <c:v>2146.56</c:v>
                </c:pt>
                <c:pt idx="2">
                  <c:v>743.04</c:v>
                </c:pt>
                <c:pt idx="3">
                  <c:v>2167.1999999999998</c:v>
                </c:pt>
                <c:pt idx="4">
                  <c:v>350.88</c:v>
                </c:pt>
                <c:pt idx="5">
                  <c:v>1197.1199999999999</c:v>
                </c:pt>
                <c:pt idx="6">
                  <c:v>1155.8399999999999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A6-4CC9-BDF0-31F71F21D0A6}"/>
            </c:ext>
          </c:extLst>
        </c:ser>
        <c:ser>
          <c:idx val="4"/>
          <c:order val="4"/>
          <c:tx>
            <c:strRef>
              <c:f>'yogurt and sour milk'!$J$77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'yogurt and sour milk'!$D$78:$E$84</c:f>
              <c:multiLvlStrCache>
                <c:ptCount val="7"/>
                <c:lvl>
                  <c:pt idx="0">
                    <c:v>Vinamilk </c:v>
                  </c:pt>
                  <c:pt idx="1">
                    <c:v>Susu </c:v>
                  </c:pt>
                  <c:pt idx="2">
                    <c:v>Probi</c:v>
                  </c:pt>
                  <c:pt idx="3">
                    <c:v>Yomost</c:v>
                  </c:pt>
                  <c:pt idx="4">
                    <c:v>Dutch Lady</c:v>
                  </c:pt>
                  <c:pt idx="5">
                    <c:v>TH True Yogurt</c:v>
                  </c:pt>
                  <c:pt idx="6">
                    <c:v>Yakult</c:v>
                  </c:pt>
                </c:lvl>
                <c:lvl>
                  <c:pt idx="0">
                    <c:v>Vietnam Dairy Products JSC (Vinamilk)</c:v>
                  </c:pt>
                  <c:pt idx="3">
                    <c:v>FrieslandCampina Vietnam Co Ltd</c:v>
                  </c:pt>
                  <c:pt idx="5">
                    <c:v>TH Food Chain JSC</c:v>
                  </c:pt>
                </c:lvl>
              </c:multiLvlStrCache>
            </c:multiLvlStrRef>
          </c:cat>
          <c:val>
            <c:numRef>
              <c:f>'yogurt and sour milk'!$J$78:$J$84</c:f>
              <c:numCache>
                <c:formatCode>General</c:formatCode>
                <c:ptCount val="7"/>
                <c:pt idx="0">
                  <c:v>11208.021299999999</c:v>
                </c:pt>
                <c:pt idx="1">
                  <c:v>2237.13</c:v>
                </c:pt>
                <c:pt idx="2">
                  <c:v>782.99549999999999</c:v>
                </c:pt>
                <c:pt idx="3">
                  <c:v>2281.8725999999997</c:v>
                </c:pt>
                <c:pt idx="4">
                  <c:v>357.94080000000002</c:v>
                </c:pt>
                <c:pt idx="5">
                  <c:v>1521.2483999999999</c:v>
                </c:pt>
                <c:pt idx="6">
                  <c:v>1543.6197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A6-4CC9-BDF0-31F71F21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8738568"/>
        <c:axId val="718737128"/>
      </c:barChart>
      <c:catAx>
        <c:axId val="718738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8737128"/>
        <c:crosses val="autoZero"/>
        <c:auto val="1"/>
        <c:lblAlgn val="ctr"/>
        <c:lblOffset val="100"/>
        <c:noMultiLvlLbl val="0"/>
      </c:catAx>
      <c:valAx>
        <c:axId val="718737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8738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21784776902887E-2"/>
          <c:y val="7.407407407407407E-2"/>
          <c:w val="0.9048932633420822"/>
          <c:h val="0.830662729658792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'yogurt and sour milk'!$N$6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milk'!$N$7:$N$13</c:f>
              <c:numCache>
                <c:formatCode>#,##0.0</c:formatCode>
                <c:ptCount val="7"/>
                <c:pt idx="0">
                  <c:v>66</c:v>
                </c:pt>
                <c:pt idx="1">
                  <c:v>13.8</c:v>
                </c:pt>
                <c:pt idx="2">
                  <c:v>3.9</c:v>
                </c:pt>
                <c:pt idx="3">
                  <c:v>5.3</c:v>
                </c:pt>
                <c:pt idx="4">
                  <c:v>3.9</c:v>
                </c:pt>
                <c:pt idx="5">
                  <c:v>2.2000000000000002</c:v>
                </c:pt>
                <c:pt idx="6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E-41D7-A4E5-78D5B9E289C3}"/>
            </c:ext>
          </c:extLst>
        </c:ser>
        <c:ser>
          <c:idx val="1"/>
          <c:order val="1"/>
          <c:tx>
            <c:strRef>
              <c:f>'yogurt and sour milk'!$O$6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milk'!$O$7:$O$13</c:f>
              <c:numCache>
                <c:formatCode>#,##0.0</c:formatCode>
                <c:ptCount val="7"/>
                <c:pt idx="0">
                  <c:v>65.8</c:v>
                </c:pt>
                <c:pt idx="1">
                  <c:v>12.8</c:v>
                </c:pt>
                <c:pt idx="2">
                  <c:v>4.4000000000000004</c:v>
                </c:pt>
                <c:pt idx="3">
                  <c:v>5.6</c:v>
                </c:pt>
                <c:pt idx="4">
                  <c:v>3.9</c:v>
                </c:pt>
                <c:pt idx="5">
                  <c:v>2.5</c:v>
                </c:pt>
                <c:pt idx="6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E-41D7-A4E5-78D5B9E289C3}"/>
            </c:ext>
          </c:extLst>
        </c:ser>
        <c:ser>
          <c:idx val="2"/>
          <c:order val="2"/>
          <c:tx>
            <c:strRef>
              <c:f>'yogurt and sour milk'!$P$6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milk'!$P$7:$P$13</c:f>
              <c:numCache>
                <c:formatCode>#,##0.0</c:formatCode>
                <c:ptCount val="7"/>
                <c:pt idx="0">
                  <c:v>65.5</c:v>
                </c:pt>
                <c:pt idx="1">
                  <c:v>12.2</c:v>
                </c:pt>
                <c:pt idx="2">
                  <c:v>5.6</c:v>
                </c:pt>
                <c:pt idx="3">
                  <c:v>5.8</c:v>
                </c:pt>
                <c:pt idx="4">
                  <c:v>4</c:v>
                </c:pt>
                <c:pt idx="5">
                  <c:v>2.5</c:v>
                </c:pt>
                <c:pt idx="6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9E-41D7-A4E5-78D5B9E289C3}"/>
            </c:ext>
          </c:extLst>
        </c:ser>
        <c:ser>
          <c:idx val="3"/>
          <c:order val="3"/>
          <c:tx>
            <c:strRef>
              <c:f>'yogurt and sour milk'!$Q$6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milk'!$L$7:$L$13</c:f>
              <c:strCache>
                <c:ptCount val="7"/>
                <c:pt idx="0">
                  <c:v>Vinamilk</c:v>
                </c:pt>
                <c:pt idx="1">
                  <c:v>Friesland Campina </c:v>
                </c:pt>
                <c:pt idx="2">
                  <c:v>Yakult</c:v>
                </c:pt>
                <c:pt idx="3">
                  <c:v>TH</c:v>
                </c:pt>
                <c:pt idx="4">
                  <c:v>IDP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'yogurt and sour milk'!$Q$7:$Q$13</c:f>
              <c:numCache>
                <c:formatCode>#,##0.0</c:formatCode>
                <c:ptCount val="7"/>
                <c:pt idx="0">
                  <c:v>63.6</c:v>
                </c:pt>
                <c:pt idx="1">
                  <c:v>11.9</c:v>
                </c:pt>
                <c:pt idx="2">
                  <c:v>6.9</c:v>
                </c:pt>
                <c:pt idx="3">
                  <c:v>6.8</c:v>
                </c:pt>
                <c:pt idx="4">
                  <c:v>4.2</c:v>
                </c:pt>
                <c:pt idx="5">
                  <c:v>2.6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1-491D-AAF3-8CADE10CB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847871"/>
        <c:axId val="1871458799"/>
      </c:barChart>
      <c:catAx>
        <c:axId val="198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458799"/>
        <c:crosses val="autoZero"/>
        <c:auto val="1"/>
        <c:lblAlgn val="ctr"/>
        <c:lblOffset val="100"/>
        <c:noMultiLvlLbl val="0"/>
      </c:catAx>
      <c:valAx>
        <c:axId val="1871458799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'yogurt and sour milk'!$G$77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milk'!$E$78:$E$80</c:f>
              <c:strCache>
                <c:ptCount val="3"/>
                <c:pt idx="0">
                  <c:v>Vinamilk </c:v>
                </c:pt>
                <c:pt idx="1">
                  <c:v>Susu </c:v>
                </c:pt>
                <c:pt idx="2">
                  <c:v>Probi</c:v>
                </c:pt>
              </c:strCache>
            </c:strRef>
          </c:cat>
          <c:val>
            <c:numRef>
              <c:f>'yogurt and sour milk'!$G$78:$G$80</c:f>
              <c:numCache>
                <c:formatCode>General</c:formatCode>
                <c:ptCount val="3"/>
                <c:pt idx="0">
                  <c:v>9159.0195999999996</c:v>
                </c:pt>
                <c:pt idx="1">
                  <c:v>1549.2021999999999</c:v>
                </c:pt>
                <c:pt idx="2">
                  <c:v>527.75020000000006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7-4156-B3A7-0152BD31B8BC}"/>
            </c:ext>
          </c:extLst>
        </c:ser>
        <c:ser>
          <c:idx val="1"/>
          <c:order val="1"/>
          <c:tx>
            <c:strRef>
              <c:f>'yogurt and sour milk'!$H$77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milk'!$E$78:$E$80</c:f>
              <c:strCache>
                <c:ptCount val="3"/>
                <c:pt idx="0">
                  <c:v>Vinamilk </c:v>
                </c:pt>
                <c:pt idx="1">
                  <c:v>Susu </c:v>
                </c:pt>
                <c:pt idx="2">
                  <c:v>Probi</c:v>
                </c:pt>
              </c:strCache>
            </c:strRef>
          </c:cat>
          <c:val>
            <c:numRef>
              <c:f>'yogurt and sour milk'!$H$78:$H$80</c:f>
              <c:numCache>
                <c:formatCode>General</c:formatCode>
                <c:ptCount val="3"/>
                <c:pt idx="0">
                  <c:v>10011.208199999999</c:v>
                </c:pt>
                <c:pt idx="1">
                  <c:v>1842.6701999999996</c:v>
                </c:pt>
                <c:pt idx="2">
                  <c:v>645.88439999999991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7-4156-B3A7-0152BD31B8BC}"/>
            </c:ext>
          </c:extLst>
        </c:ser>
        <c:ser>
          <c:idx val="2"/>
          <c:order val="2"/>
          <c:tx>
            <c:strRef>
              <c:f>'yogurt and sour milk'!$I$77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milk'!$E$78:$E$80</c:f>
              <c:strCache>
                <c:ptCount val="3"/>
                <c:pt idx="0">
                  <c:v>Vinamilk </c:v>
                </c:pt>
                <c:pt idx="1">
                  <c:v>Susu </c:v>
                </c:pt>
                <c:pt idx="2">
                  <c:v>Probi</c:v>
                </c:pt>
              </c:strCache>
            </c:strRef>
          </c:cat>
          <c:val>
            <c:numRef>
              <c:f>'yogurt and sour milk'!$I$78:$I$80</c:f>
              <c:numCache>
                <c:formatCode>General</c:formatCode>
                <c:ptCount val="3"/>
                <c:pt idx="0">
                  <c:v>10650.24</c:v>
                </c:pt>
                <c:pt idx="1">
                  <c:v>2146.56</c:v>
                </c:pt>
                <c:pt idx="2">
                  <c:v>743.04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47-4156-B3A7-0152BD31B8BC}"/>
            </c:ext>
          </c:extLst>
        </c:ser>
        <c:ser>
          <c:idx val="3"/>
          <c:order val="3"/>
          <c:tx>
            <c:strRef>
              <c:f>'yogurt and sour milk'!$J$77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milk'!$E$78:$E$80</c:f>
              <c:strCache>
                <c:ptCount val="3"/>
                <c:pt idx="0">
                  <c:v>Vinamilk </c:v>
                </c:pt>
                <c:pt idx="1">
                  <c:v>Susu </c:v>
                </c:pt>
                <c:pt idx="2">
                  <c:v>Probi</c:v>
                </c:pt>
              </c:strCache>
            </c:strRef>
          </c:cat>
          <c:val>
            <c:numRef>
              <c:f>'yogurt and sour milk'!$J$78:$J$80</c:f>
              <c:numCache>
                <c:formatCode>General</c:formatCode>
                <c:ptCount val="3"/>
                <c:pt idx="0">
                  <c:v>11208.021299999999</c:v>
                </c:pt>
                <c:pt idx="1">
                  <c:v>2237.13</c:v>
                </c:pt>
                <c:pt idx="2">
                  <c:v>782.99549999999999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0E-4DEE-A76C-1A6D4CBCF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38783"/>
        <c:axId val="179895295"/>
      </c:barChart>
      <c:catAx>
        <c:axId val="783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9895295"/>
        <c:crosses val="autoZero"/>
        <c:auto val="1"/>
        <c:lblAlgn val="ctr"/>
        <c:lblOffset val="100"/>
        <c:noMultiLvlLbl val="0"/>
      </c:catAx>
      <c:valAx>
        <c:axId val="17989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3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'yogurt and sour milk'!$R$18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milk'!$Q$19:$Q$25</c:f>
              <c:strCache>
                <c:ptCount val="7"/>
                <c:pt idx="0">
                  <c:v>Vietnam Dairy Products JSC 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International Dairy Products JSC 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'yogurt and sour milk'!$R$19:$R$25</c:f>
              <c:numCache>
                <c:formatCode>General</c:formatCode>
                <c:ptCount val="7"/>
                <c:pt idx="0">
                  <c:v>12499.762799999999</c:v>
                </c:pt>
                <c:pt idx="1">
                  <c:v>2431.5647999999997</c:v>
                </c:pt>
                <c:pt idx="2">
                  <c:v>835.85039999999992</c:v>
                </c:pt>
                <c:pt idx="3">
                  <c:v>1063.8095999999998</c:v>
                </c:pt>
                <c:pt idx="4">
                  <c:v>740.86739999999986</c:v>
                </c:pt>
                <c:pt idx="5">
                  <c:v>474.91500000000002</c:v>
                </c:pt>
                <c:pt idx="6">
                  <c:v>930.83339999999998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13-40F2-A5B8-7D753384E692}"/>
            </c:ext>
          </c:extLst>
        </c:ser>
        <c:ser>
          <c:idx val="1"/>
          <c:order val="1"/>
          <c:tx>
            <c:strRef>
              <c:f>'yogurt and sour milk'!$S$18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milk'!$Q$19:$Q$25</c:f>
              <c:strCache>
                <c:ptCount val="7"/>
                <c:pt idx="0">
                  <c:v>Vietnam Dairy Products JSC 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International Dairy Products JSC 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'yogurt and sour milk'!$S$19:$S$25</c:f>
              <c:numCache>
                <c:formatCode>General</c:formatCode>
                <c:ptCount val="7"/>
                <c:pt idx="0">
                  <c:v>12442.772999999997</c:v>
                </c:pt>
                <c:pt idx="1">
                  <c:v>2317.5851999999995</c:v>
                </c:pt>
                <c:pt idx="2">
                  <c:v>1063.8095999999998</c:v>
                </c:pt>
                <c:pt idx="3">
                  <c:v>1101.8027999999999</c:v>
                </c:pt>
                <c:pt idx="4">
                  <c:v>759.86399999999992</c:v>
                </c:pt>
                <c:pt idx="5">
                  <c:v>474.91500000000002</c:v>
                </c:pt>
                <c:pt idx="6">
                  <c:v>816.85379999999986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3-40F2-A5B8-7D753384E692}"/>
            </c:ext>
          </c:extLst>
        </c:ser>
        <c:ser>
          <c:idx val="2"/>
          <c:order val="2"/>
          <c:tx>
            <c:strRef>
              <c:f>'yogurt and sour milk'!$T$18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'yogurt and sour milk'!$Q$19:$Q$25</c:f>
              <c:strCache>
                <c:ptCount val="7"/>
                <c:pt idx="0">
                  <c:v>Vietnam Dairy Products JSC 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International Dairy Products JSC 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'yogurt and sour milk'!$T$19:$T$25</c:f>
              <c:numCache>
                <c:formatCode>General</c:formatCode>
                <c:ptCount val="7"/>
                <c:pt idx="0">
                  <c:v>12081.837600000001</c:v>
                </c:pt>
                <c:pt idx="1">
                  <c:v>2260.5953999999997</c:v>
                </c:pt>
                <c:pt idx="2">
                  <c:v>1310.7654</c:v>
                </c:pt>
                <c:pt idx="3">
                  <c:v>1291.7687999999998</c:v>
                </c:pt>
                <c:pt idx="4">
                  <c:v>797.85720000000003</c:v>
                </c:pt>
                <c:pt idx="5">
                  <c:v>493.91159999999996</c:v>
                </c:pt>
                <c:pt idx="6">
                  <c:v>759.86399999999992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13-40F2-A5B8-7D753384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5310431"/>
        <c:axId val="1704915839"/>
      </c:barChart>
      <c:catAx>
        <c:axId val="133531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4915839"/>
        <c:crosses val="autoZero"/>
        <c:auto val="1"/>
        <c:lblAlgn val="ctr"/>
        <c:lblOffset val="100"/>
        <c:noMultiLvlLbl val="0"/>
      </c:catAx>
      <c:valAx>
        <c:axId val="1704915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5310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Market share of drinking milk products in Vietnam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'drinking milk'!$U$2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4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499-40E1-956D-D4FA9609421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499-40E1-956D-D4FA9609421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499-40E1-956D-D4FA9609421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99-40E1-956D-D4FA9609421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499-40E1-956D-D4FA9609421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99-40E1-956D-D4FA9609421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4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499-40E1-956D-D4FA9609421A}"/>
              </c:ext>
            </c:extLst>
          </c:dPt>
          <c:dLbls>
            <c:dLbl>
              <c:idx val="0"/>
              <c:layout>
                <c:manualLayout>
                  <c:x val="-0.26413718871795544"/>
                  <c:y val="7.99207163751489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99-40E1-956D-D4FA9609421A}"/>
                </c:ext>
              </c:extLst>
            </c:dLbl>
            <c:dLbl>
              <c:idx val="1"/>
              <c:layout>
                <c:manualLayout>
                  <c:x val="4.5261264946775334E-2"/>
                  <c:y val="-9.901100925146684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99-40E1-956D-D4FA9609421A}"/>
                </c:ext>
              </c:extLst>
            </c:dLbl>
            <c:dLbl>
              <c:idx val="2"/>
              <c:layout>
                <c:manualLayout>
                  <c:x val="0.16215959532838312"/>
                  <c:y val="-0.1629914823468236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-1140000" spcFirstLastPara="1" vertOverflow="ellipsis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23730628752002"/>
                      <c:h val="0.1740903804996881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D499-40E1-956D-D4FA9609421A}"/>
                </c:ext>
              </c:extLst>
            </c:dLbl>
            <c:dLbl>
              <c:idx val="3"/>
              <c:layout>
                <c:manualLayout>
                  <c:x val="0.19217901187219283"/>
                  <c:y val="-2.36157890279415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99-40E1-956D-D4FA9609421A}"/>
                </c:ext>
              </c:extLst>
            </c:dLbl>
            <c:dLbl>
              <c:idx val="4"/>
              <c:layout>
                <c:manualLayout>
                  <c:x val="0.16488967753197648"/>
                  <c:y val="7.5810917509943399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1920000" spcFirstLastPara="1" vertOverflow="ellipsis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676457478522753"/>
                      <c:h val="0.112355944743148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499-40E1-956D-D4FA9609421A}"/>
                </c:ext>
              </c:extLst>
            </c:dLbl>
            <c:dLbl>
              <c:idx val="5"/>
              <c:layout>
                <c:manualLayout>
                  <c:x val="0.15080300060252616"/>
                  <c:y val="0.13539408878208031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2760000" spcFirstLastPara="1" vertOverflow="ellipsis" wrap="square" anchor="ctr" anchorCtr="1"/>
                <a:lstStyle/>
                <a:p>
                  <a:pPr>
                    <a:defRPr sz="78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332075797865579"/>
                      <c:h val="0.112355944743148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499-40E1-956D-D4FA9609421A}"/>
                </c:ext>
              </c:extLst>
            </c:dLbl>
            <c:dLbl>
              <c:idx val="6"/>
              <c:layout>
                <c:manualLayout>
                  <c:x val="5.1719635567146496E-2"/>
                  <c:y val="0.1550155197931404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99-40E1-956D-D4FA9609421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'drinking milk'!$T$3:$T$9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Others</c:v>
                </c:pt>
              </c:strCache>
            </c:strRef>
          </c:cat>
          <c:val>
            <c:numRef>
              <c:f>'drinking milk'!$U$3:$U$9</c:f>
              <c:numCache>
                <c:formatCode>##,#00</c:formatCode>
                <c:ptCount val="7"/>
                <c:pt idx="0">
                  <c:v>44.8</c:v>
                </c:pt>
                <c:pt idx="1">
                  <c:v>15.1</c:v>
                </c:pt>
                <c:pt idx="2">
                  <c:v>10.199999999999999</c:v>
                </c:pt>
                <c:pt idx="3">
                  <c:v>8.4</c:v>
                </c:pt>
                <c:pt idx="4">
                  <c:v>5.4</c:v>
                </c:pt>
                <c:pt idx="5">
                  <c:v>4.9000000000000004</c:v>
                </c:pt>
                <c:pt idx="6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9-40E1-956D-D4FA9609421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milk'!$F$27:$J$27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'drinking milk'!$F$28:$J$28</c:f>
              <c:numCache>
                <c:formatCode>General</c:formatCode>
                <c:ptCount val="5"/>
                <c:pt idx="0">
                  <c:v>20287.740900000001</c:v>
                </c:pt>
                <c:pt idx="1">
                  <c:v>24016.704000000005</c:v>
                </c:pt>
                <c:pt idx="2">
                  <c:v>26157.1548</c:v>
                </c:pt>
                <c:pt idx="3">
                  <c:v>27401.003399999998</c:v>
                </c:pt>
                <c:pt idx="4">
                  <c:v>27325.682800000002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B-4932-8EDB-8976C9FFB2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2657264"/>
        <c:axId val="662656904"/>
      </c:barChart>
      <c:catAx>
        <c:axId val="66265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56904"/>
        <c:crosses val="autoZero"/>
        <c:auto val="1"/>
        <c:lblAlgn val="ctr"/>
        <c:lblOffset val="100"/>
        <c:noMultiLvlLbl val="0"/>
      </c:catAx>
      <c:valAx>
        <c:axId val="662656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5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142420345396976E-2"/>
          <c:y val="2.1326495788310328E-2"/>
          <c:w val="0.95569019196977656"/>
          <c:h val="0.904037455878833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'drinking milk'!$C$32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5ED-437E-98EB-AECCD21FDD8A}"/>
              </c:ext>
            </c:extLst>
          </c:dPt>
          <c:cat>
            <c:strRef>
              <c:f>'drinking milk'!$A$33:$A$39</c:f>
              <c:strCache>
                <c:ptCount val="7"/>
                <c:pt idx="0">
                  <c:v>Vinamilk</c:v>
                </c:pt>
                <c:pt idx="1">
                  <c:v>TH</c:v>
                </c:pt>
                <c:pt idx="2">
                  <c:v>Friesland Campina </c:v>
                </c:pt>
                <c:pt idx="3">
                  <c:v>Nestlé </c:v>
                </c:pt>
                <c:pt idx="4">
                  <c:v>IDP</c:v>
                </c:pt>
                <c:pt idx="5">
                  <c:v>Coca-Cola </c:v>
                </c:pt>
                <c:pt idx="6">
                  <c:v>Others</c:v>
                </c:pt>
              </c:strCache>
            </c:strRef>
          </c:cat>
          <c:val>
            <c:numRef>
              <c:f>'drinking milk'!$C$33:$C$39</c:f>
              <c:numCache>
                <c:formatCode>##,#00</c:formatCode>
                <c:ptCount val="7"/>
                <c:pt idx="0">
                  <c:v>48</c:v>
                </c:pt>
                <c:pt idx="1">
                  <c:v>13.9</c:v>
                </c:pt>
                <c:pt idx="2">
                  <c:v>13.6</c:v>
                </c:pt>
                <c:pt idx="3">
                  <c:v>7.9</c:v>
                </c:pt>
                <c:pt idx="4">
                  <c:v>2.5</c:v>
                </c:pt>
                <c:pt idx="5">
                  <c:v>3.8</c:v>
                </c:pt>
                <c:pt idx="6">
                  <c:v>10.299999999999999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7-408F-ADF3-4472A5ED94B6}"/>
            </c:ext>
          </c:extLst>
        </c:ser>
        <c:ser>
          <c:idx val="1"/>
          <c:order val="1"/>
          <c:tx>
            <c:strRef>
              <c:f>'drinking milk'!$D$32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ED-437E-98EB-AECCD21FDD8A}"/>
              </c:ext>
            </c:extLst>
          </c:dPt>
          <c:cat>
            <c:strRef>
              <c:f>'drinking milk'!$A$33:$A$39</c:f>
              <c:strCache>
                <c:ptCount val="7"/>
                <c:pt idx="0">
                  <c:v>Vinamilk</c:v>
                </c:pt>
                <c:pt idx="1">
                  <c:v>TH</c:v>
                </c:pt>
                <c:pt idx="2">
                  <c:v>Friesland Campina </c:v>
                </c:pt>
                <c:pt idx="3">
                  <c:v>Nestlé </c:v>
                </c:pt>
                <c:pt idx="4">
                  <c:v>IDP</c:v>
                </c:pt>
                <c:pt idx="5">
                  <c:v>Coca-Cola </c:v>
                </c:pt>
                <c:pt idx="6">
                  <c:v>Others</c:v>
                </c:pt>
              </c:strCache>
            </c:strRef>
          </c:cat>
          <c:val>
            <c:numRef>
              <c:f>'drinking milk'!$D$33:$D$39</c:f>
              <c:numCache>
                <c:formatCode>##,#00</c:formatCode>
                <c:ptCount val="7"/>
                <c:pt idx="0">
                  <c:v>48.3</c:v>
                </c:pt>
                <c:pt idx="1">
                  <c:v>14.3</c:v>
                </c:pt>
                <c:pt idx="2">
                  <c:v>11.4</c:v>
                </c:pt>
                <c:pt idx="3">
                  <c:v>8.1999999999999993</c:v>
                </c:pt>
                <c:pt idx="4">
                  <c:v>3.2</c:v>
                </c:pt>
                <c:pt idx="5">
                  <c:v>4.0999999999999996</c:v>
                </c:pt>
                <c:pt idx="6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7-408F-ADF3-4472A5ED94B6}"/>
            </c:ext>
          </c:extLst>
        </c:ser>
        <c:ser>
          <c:idx val="2"/>
          <c:order val="2"/>
          <c:tx>
            <c:strRef>
              <c:f>'drinking milk'!$E$32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ED-437E-98EB-AECCD21FDD8A}"/>
              </c:ext>
            </c:extLst>
          </c:dPt>
          <c:cat>
            <c:strRef>
              <c:f>'drinking milk'!$A$33:$A$39</c:f>
              <c:strCache>
                <c:ptCount val="7"/>
                <c:pt idx="0">
                  <c:v>Vinamilk</c:v>
                </c:pt>
                <c:pt idx="1">
                  <c:v>TH</c:v>
                </c:pt>
                <c:pt idx="2">
                  <c:v>Friesland Campina </c:v>
                </c:pt>
                <c:pt idx="3">
                  <c:v>Nestlé </c:v>
                </c:pt>
                <c:pt idx="4">
                  <c:v>IDP</c:v>
                </c:pt>
                <c:pt idx="5">
                  <c:v>Coca-Cola </c:v>
                </c:pt>
                <c:pt idx="6">
                  <c:v>Others</c:v>
                </c:pt>
              </c:strCache>
            </c:strRef>
          </c:cat>
          <c:val>
            <c:numRef>
              <c:f>'drinking milk'!$E$33:$E$39</c:f>
              <c:numCache>
                <c:formatCode>##,#00</c:formatCode>
                <c:ptCount val="7"/>
                <c:pt idx="0">
                  <c:v>47.9</c:v>
                </c:pt>
                <c:pt idx="1">
                  <c:v>14.8</c:v>
                </c:pt>
                <c:pt idx="2">
                  <c:v>10.4</c:v>
                </c:pt>
                <c:pt idx="3">
                  <c:v>8.3000000000000007</c:v>
                </c:pt>
                <c:pt idx="4">
                  <c:v>3.7</c:v>
                </c:pt>
                <c:pt idx="5">
                  <c:v>4.2</c:v>
                </c:pt>
                <c:pt idx="6">
                  <c:v>10.700000000000001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B7-408F-ADF3-4472A5ED94B6}"/>
            </c:ext>
          </c:extLst>
        </c:ser>
        <c:ser>
          <c:idx val="3"/>
          <c:order val="3"/>
          <c:tx>
            <c:strRef>
              <c:f>'drinking milk'!$F$32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100000">
                    <a:schemeClr val="accent4"/>
                  </a:gs>
                </a:gsLst>
                <a:lin ang="5400000" scaled="1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ED-437E-98EB-AECCD21FDD8A}"/>
              </c:ext>
            </c:extLst>
          </c:dPt>
          <c:cat>
            <c:strRef>
              <c:f>'drinking milk'!$A$33:$A$39</c:f>
              <c:strCache>
                <c:ptCount val="7"/>
                <c:pt idx="0">
                  <c:v>Vinamilk</c:v>
                </c:pt>
                <c:pt idx="1">
                  <c:v>TH</c:v>
                </c:pt>
                <c:pt idx="2">
                  <c:v>Friesland Campina </c:v>
                </c:pt>
                <c:pt idx="3">
                  <c:v>Nestlé </c:v>
                </c:pt>
                <c:pt idx="4">
                  <c:v>IDP</c:v>
                </c:pt>
                <c:pt idx="5">
                  <c:v>Coca-Cola </c:v>
                </c:pt>
                <c:pt idx="6">
                  <c:v>Others</c:v>
                </c:pt>
              </c:strCache>
            </c:strRef>
          </c:cat>
          <c:val>
            <c:numRef>
              <c:f>'drinking milk'!$F$33:$F$39</c:f>
              <c:numCache>
                <c:formatCode>##,#00</c:formatCode>
                <c:ptCount val="7"/>
                <c:pt idx="0">
                  <c:v>46.1</c:v>
                </c:pt>
                <c:pt idx="1">
                  <c:v>15.1</c:v>
                </c:pt>
                <c:pt idx="2">
                  <c:v>10.4</c:v>
                </c:pt>
                <c:pt idx="3">
                  <c:v>8.4</c:v>
                </c:pt>
                <c:pt idx="4">
                  <c:v>4.5</c:v>
                </c:pt>
                <c:pt idx="5">
                  <c:v>4.5999999999999996</c:v>
                </c:pt>
                <c:pt idx="6">
                  <c:v>11.1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D-437E-98EB-AECCD21F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645061216"/>
        <c:axId val="645058336"/>
      </c:barChart>
      <c:catAx>
        <c:axId val="64506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5058336"/>
        <c:crosses val="autoZero"/>
        <c:auto val="1"/>
        <c:lblAlgn val="ctr"/>
        <c:lblOffset val="100"/>
        <c:noMultiLvlLbl val="0"/>
      </c:catAx>
      <c:valAx>
        <c:axId val="645058336"/>
        <c:scaling>
          <c:orientation val="minMax"/>
          <c:max val="50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4506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milk'!$M$3</c:f>
              <c:strCache>
                <c:ptCount val="1"/>
                <c:pt idx="0">
                  <c:v>Market share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milk'!$N$2:$R$2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'drinking milk'!$N$3:$R$3</c:f>
              <c:numCache>
                <c:formatCode>##,#00</c:formatCode>
                <c:ptCount val="5"/>
                <c:pt idx="0">
                  <c:v>45.3</c:v>
                </c:pt>
                <c:pt idx="1">
                  <c:v>48</c:v>
                </c:pt>
                <c:pt idx="2">
                  <c:v>48.3</c:v>
                </c:pt>
                <c:pt idx="3">
                  <c:v>47.9</c:v>
                </c:pt>
                <c:pt idx="4">
                  <c:v>46.1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3-4092-AC02-1EAE3C5B8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511984"/>
        <c:axId val="538510544"/>
      </c:barChart>
      <c:lineChart>
        <c:grouping val="standard"/>
        <c:varyColors val="0"/>
        <c:ser>
          <c:idx val="1"/>
          <c:order val="1"/>
          <c:tx>
            <c:strRef>
              <c:f>'drinking milk'!$M$4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'drinking milk'!$N$2:$R$2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'drinking milk'!$N$4:$R$4</c:f>
              <c:numCache>
                <c:formatCode>General</c:formatCode>
                <c:ptCount val="5"/>
                <c:pt idx="0">
                  <c:v>20287.740900000001</c:v>
                </c:pt>
                <c:pt idx="1">
                  <c:v>24016.704000000005</c:v>
                </c:pt>
                <c:pt idx="2">
                  <c:v>26157.1548</c:v>
                </c:pt>
                <c:pt idx="3">
                  <c:v>27401.003399999998</c:v>
                </c:pt>
                <c:pt idx="4">
                  <c:v>27325.682800000002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3-4092-AC02-1EAE3C5B8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983824"/>
        <c:axId val="724983464"/>
      </c:lineChart>
      <c:catAx>
        <c:axId val="53851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8510544"/>
        <c:crosses val="autoZero"/>
        <c:auto val="1"/>
        <c:lblAlgn val="ctr"/>
        <c:lblOffset val="100"/>
        <c:noMultiLvlLbl val="0"/>
      </c:catAx>
      <c:valAx>
        <c:axId val="538510544"/>
        <c:scaling>
          <c:orientation val="minMax"/>
        </c:scaling>
        <c:delete val="0"/>
        <c:axPos val="l"/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8511984"/>
        <c:crosses val="autoZero"/>
        <c:crossBetween val="between"/>
      </c:valAx>
      <c:valAx>
        <c:axId val="7249834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4983824"/>
        <c:crosses val="max"/>
        <c:crossBetween val="between"/>
      </c:valAx>
      <c:catAx>
        <c:axId val="72498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4983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'drinking milk'!$L$61:$L$73</c:f>
              <c:strCache>
                <c:ptCount val="13"/>
                <c:pt idx="0">
                  <c:v>2018 - 2022 CAGR %</c:v>
                </c:pt>
                <c:pt idx="1">
                  <c:v>7.70%</c:v>
                </c:pt>
                <c:pt idx="2">
                  <c:v>13.20%</c:v>
                </c:pt>
                <c:pt idx="3">
                  <c:v>-7.10%</c:v>
                </c:pt>
                <c:pt idx="4">
                  <c:v>9.80%</c:v>
                </c:pt>
                <c:pt idx="5">
                  <c:v>10.70%</c:v>
                </c:pt>
                <c:pt idx="6">
                  <c:v>23.90%</c:v>
                </c:pt>
                <c:pt idx="7">
                  <c:v>5.64%</c:v>
                </c:pt>
                <c:pt idx="8">
                  <c:v>9.12%</c:v>
                </c:pt>
                <c:pt idx="9">
                  <c:v>16.6</c:v>
                </c:pt>
                <c:pt idx="10">
                  <c:v>6.3</c:v>
                </c:pt>
                <c:pt idx="11">
                  <c:v>6.4</c:v>
                </c:pt>
                <c:pt idx="12">
                  <c:v>-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'drinking milk'!$K$74:$K$81</c:f>
              <c:strCache>
                <c:ptCount val="8"/>
                <c:pt idx="0">
                  <c:v>Fonterra Cooperative Group Ltd</c:v>
                </c:pt>
                <c:pt idx="1">
                  <c:v>Reckitt Benckiser Group Plc (RB)</c:v>
                </c:pt>
                <c:pt idx="2">
                  <c:v>Abbott Laboratories Inc</c:v>
                </c:pt>
                <c:pt idx="3">
                  <c:v>Saputo Inc</c:v>
                </c:pt>
                <c:pt idx="4">
                  <c:v>PepsiCo Inc</c:v>
                </c:pt>
                <c:pt idx="5">
                  <c:v>Hanoi Milk JSC</c:v>
                </c:pt>
                <c:pt idx="6">
                  <c:v>Namyang Dairy Products Co Ltd</c:v>
                </c:pt>
                <c:pt idx="7">
                  <c:v>Others</c:v>
                </c:pt>
              </c:strCache>
            </c:strRef>
          </c:xVal>
          <c:yVal>
            <c:numRef>
              <c:f>'drinking milk'!$L$74:$L$81</c:f>
              <c:numCache>
                <c:formatCode>#,##0.0</c:formatCode>
                <c:ptCount val="8"/>
                <c:pt idx="0">
                  <c:v>-9.1999999999999993</c:v>
                </c:pt>
                <c:pt idx="1">
                  <c:v>-3.9</c:v>
                </c:pt>
                <c:pt idx="2">
                  <c:v>3</c:v>
                </c:pt>
                <c:pt idx="3">
                  <c:v>10.199999999999999</c:v>
                </c:pt>
                <c:pt idx="4">
                  <c:v>14.6</c:v>
                </c:pt>
                <c:pt idx="5">
                  <c:v>3.8</c:v>
                </c:pt>
                <c:pt idx="6">
                  <c:v>-0.9</c:v>
                </c:pt>
                <c:pt idx="7">
                  <c:v>15.1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BA-4A39-B426-996D19050268}"/>
            </c:ext>
          </c:extLst>
        </c:ser>
        <c:ser>
          <c:idx val="1"/>
          <c:order val="1"/>
          <c:tx>
            <c:strRef>
              <c:f>'drinking milk'!$M$61:$M$73</c:f>
              <c:strCache>
                <c:ptCount val="13"/>
                <c:pt idx="0">
                  <c:v>2018 - 2022 Absolute</c:v>
                </c:pt>
                <c:pt idx="1">
                  <c:v>7,033.2</c:v>
                </c:pt>
                <c:pt idx="2">
                  <c:v>3,481.0</c:v>
                </c:pt>
                <c:pt idx="3">
                  <c:v>-1,867.2</c:v>
                </c:pt>
                <c:pt idx="4">
                  <c:v>1,555.9</c:v>
                </c:pt>
                <c:pt idx="5">
                  <c:v>905.2</c:v>
                </c:pt>
                <c:pt idx="6">
                  <c:v>1,548.6</c:v>
                </c:pt>
                <c:pt idx="7">
                  <c:v>173.6</c:v>
                </c:pt>
                <c:pt idx="8">
                  <c:v>183290.65%</c:v>
                </c:pt>
                <c:pt idx="9">
                  <c:v>321.5</c:v>
                </c:pt>
                <c:pt idx="10">
                  <c:v>147.8</c:v>
                </c:pt>
                <c:pt idx="11">
                  <c:v>137.9</c:v>
                </c:pt>
                <c:pt idx="12">
                  <c:v>-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'drinking milk'!$K$74:$K$81</c:f>
              <c:strCache>
                <c:ptCount val="8"/>
                <c:pt idx="0">
                  <c:v>Fonterra Cooperative Group Ltd</c:v>
                </c:pt>
                <c:pt idx="1">
                  <c:v>Reckitt Benckiser Group Plc (RB)</c:v>
                </c:pt>
                <c:pt idx="2">
                  <c:v>Abbott Laboratories Inc</c:v>
                </c:pt>
                <c:pt idx="3">
                  <c:v>Saputo Inc</c:v>
                </c:pt>
                <c:pt idx="4">
                  <c:v>PepsiCo Inc</c:v>
                </c:pt>
                <c:pt idx="5">
                  <c:v>Hanoi Milk JSC</c:v>
                </c:pt>
                <c:pt idx="6">
                  <c:v>Namyang Dairy Products Co Ltd</c:v>
                </c:pt>
                <c:pt idx="7">
                  <c:v>Others</c:v>
                </c:pt>
              </c:strCache>
            </c:strRef>
          </c:xVal>
          <c:yVal>
            <c:numRef>
              <c:f>'drinking milk'!$M$74:$M$81</c:f>
              <c:numCache>
                <c:formatCode>#,##0.0</c:formatCode>
                <c:ptCount val="8"/>
                <c:pt idx="0">
                  <c:v>-168.7</c:v>
                </c:pt>
                <c:pt idx="1">
                  <c:v>-52.6</c:v>
                </c:pt>
                <c:pt idx="2">
                  <c:v>33.6</c:v>
                </c:pt>
                <c:pt idx="3">
                  <c:v>87.1</c:v>
                </c:pt>
                <c:pt idx="4">
                  <c:v>102.9</c:v>
                </c:pt>
                <c:pt idx="5">
                  <c:v>31.8</c:v>
                </c:pt>
                <c:pt idx="6">
                  <c:v>-2.1</c:v>
                </c:pt>
                <c:pt idx="7">
                  <c:v>1270.9000000000001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BA-4A39-B426-996D1905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43400"/>
        <c:axId val="852941960"/>
      </c:scatterChart>
      <c:valAx>
        <c:axId val="852943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41960"/>
        <c:crosses val="autoZero"/>
        <c:crossBetween val="midCat"/>
      </c:valAx>
      <c:valAx>
        <c:axId val="85294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43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'drinking milk'!$M$61</c:f>
              <c:strCache>
                <c:ptCount val="1"/>
                <c:pt idx="0">
                  <c:v>2018 - 2022 Absolute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7"/>
            <c:marker>
              <c:symbol val="circle"/>
              <c:size val="6"/>
              <c:spPr>
                <a:solidFill>
                  <a:srgbClr val="92D050"/>
                </a:solidFill>
                <a:ln w="9525" cap="rnd">
                  <a:solidFill>
                    <a:schemeClr val="accent6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A37-4FC3-BF29-427E2417CCAD}"/>
              </c:ext>
            </c:extLst>
          </c:dPt>
          <c:dLbls>
            <c:dLbl>
              <c:idx val="0"/>
              <c:layout>
                <c:manualLayout>
                  <c:x val="-0.25017182939711485"/>
                  <c:y val="-2.7089464483058576E-2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Vietnam Dairy Products JSC (Vinamilk)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A37-4FC3-BF29-427E2417CCAD}"/>
                </c:ext>
              </c:extLst>
            </c:dLbl>
            <c:dLbl>
              <c:idx val="1"/>
              <c:layout>
                <c:manualLayout>
                  <c:x val="-0.11266614366885472"/>
                  <c:y val="-0.16387201164643425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TH Food Chain JSC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37-4FC3-BF29-427E2417CCAD}"/>
                </c:ext>
              </c:extLst>
            </c:dLbl>
            <c:dLbl>
              <c:idx val="2"/>
              <c:layout>
                <c:manualLayout>
                  <c:x val="-6.9741865261350858E-2"/>
                  <c:y val="-0.22936439835790595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Royal FrieslandCampina NV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A37-4FC3-BF29-427E2417CCAD}"/>
                </c:ext>
              </c:extLst>
            </c:dLbl>
            <c:dLbl>
              <c:idx val="3"/>
              <c:layout>
                <c:manualLayout>
                  <c:x val="6.0288216450368401E-3"/>
                  <c:y val="-5.2034275866378175E-2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Nestlé SA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A37-4FC3-BF29-427E2417CCAD}"/>
                </c:ext>
              </c:extLst>
            </c:dLbl>
            <c:dLbl>
              <c:idx val="4"/>
              <c:layout>
                <c:manualLayout>
                  <c:x val="8.4406709640961648E-3"/>
                  <c:y val="6.55978477106297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Coca-Cola Co, The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A37-4FC3-BF29-427E2417CCAD}"/>
                </c:ext>
              </c:extLst>
            </c:dLbl>
            <c:dLbl>
              <c:idx val="5"/>
              <c:layout>
                <c:manualLayout>
                  <c:x val="-4.2575803466983177E-2"/>
                  <c:y val="-0.18721687316987373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International Dairy Products JSC (IDP)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A37-4FC3-BF29-427E2417CCA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sz="900" b="0" i="0" u="none" strike="noStrike" baseline="0">
                        <a:effectLst/>
                      </a:rPr>
                      <a:t>Others</a:t>
                    </a:r>
                    <a:r>
                      <a:rPr lang="en-US" sz="900" b="0" i="0" u="none" strike="noStrike" baseline="0"/>
                      <a:t> 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A37-4FC3-BF29-427E2417CCAD}"/>
                </c:ext>
              </c:extLst>
            </c:dLbl>
            <c:dLbl>
              <c:idx val="7"/>
              <c:layout>
                <c:manualLayout>
                  <c:x val="-3.7582937850424353E-2"/>
                  <c:y val="-0.1665513869171047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Average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A37-4FC3-BF29-427E2417CC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'drinking milk'!$L$62:$L$69</c:f>
              <c:numCache>
                <c:formatCode>0.00%</c:formatCode>
                <c:ptCount val="8"/>
                <c:pt idx="0">
                  <c:v>7.6999999999999999E-2</c:v>
                </c:pt>
                <c:pt idx="1">
                  <c:v>0.13200000000000001</c:v>
                </c:pt>
                <c:pt idx="2">
                  <c:v>-7.0999999999999994E-2</c:v>
                </c:pt>
                <c:pt idx="3">
                  <c:v>9.8000000000000004E-2</c:v>
                </c:pt>
                <c:pt idx="4">
                  <c:v>0.107</c:v>
                </c:pt>
                <c:pt idx="5">
                  <c:v>0.23899999999999999</c:v>
                </c:pt>
                <c:pt idx="6">
                  <c:v>5.6363636363636366E-2</c:v>
                </c:pt>
                <c:pt idx="7">
                  <c:v>9.1194805194805204E-2</c:v>
                </c:pt>
              </c:numCache>
            </c:numRef>
          </c:xVal>
          <c:yVal>
            <c:numRef>
              <c:f>'drinking milk'!$M$62:$M$69</c:f>
              <c:numCache>
                <c:formatCode>#,##0.0</c:formatCode>
                <c:ptCount val="8"/>
                <c:pt idx="0">
                  <c:v>7033.2</c:v>
                </c:pt>
                <c:pt idx="1">
                  <c:v>3481</c:v>
                </c:pt>
                <c:pt idx="2">
                  <c:v>-1867.2</c:v>
                </c:pt>
                <c:pt idx="3">
                  <c:v>1555.9</c:v>
                </c:pt>
                <c:pt idx="4">
                  <c:v>905.2</c:v>
                </c:pt>
                <c:pt idx="5">
                  <c:v>1548.6</c:v>
                </c:pt>
                <c:pt idx="6">
                  <c:v>173.64545454545453</c:v>
                </c:pt>
                <c:pt idx="7" formatCode="0.00%">
                  <c:v>1832.9064935064937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C-4E18-8C66-40FD911C4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9832583"/>
        <c:axId val="1559842823"/>
      </c:scatterChart>
      <c:valAx>
        <c:axId val="155983258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59842823"/>
        <c:crosses val="autoZero"/>
        <c:crossBetween val="midCat"/>
      </c:valAx>
      <c:valAx>
        <c:axId val="1559842823"/>
        <c:scaling>
          <c:orientation val="minMax"/>
        </c:scaling>
        <c:delete val="0"/>
        <c:axPos val="l"/>
        <c:numFmt formatCode="#,##0.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59832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milk'!$B$96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milk'!$A$97</c:f>
              <c:strCache>
                <c:ptCount val="1"/>
                <c:pt idx="0">
                  <c:v>Vietnam Dairy Products JSC </c:v>
                </c:pt>
              </c:strCache>
            </c:strRef>
          </c:cat>
          <c:val>
            <c:numRef>
              <c:f>'drinking milk'!$B$97</c:f>
              <c:numCache>
                <c:formatCode>General</c:formatCode>
                <c:ptCount val="1"/>
                <c:pt idx="0">
                  <c:v>20287.740900000001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C-4686-8CF3-3ECD4FA6D53E}"/>
            </c:ext>
          </c:extLst>
        </c:ser>
        <c:ser>
          <c:idx val="1"/>
          <c:order val="1"/>
          <c:tx>
            <c:strRef>
              <c:f>'drinking milk'!$C$96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milk'!$A$97</c:f>
              <c:strCache>
                <c:ptCount val="1"/>
                <c:pt idx="0">
                  <c:v>Vietnam Dairy Products JSC </c:v>
                </c:pt>
              </c:strCache>
            </c:strRef>
          </c:cat>
          <c:val>
            <c:numRef>
              <c:f>'drinking milk'!$C$97</c:f>
              <c:numCache>
                <c:formatCode>General</c:formatCode>
                <c:ptCount val="1"/>
                <c:pt idx="0">
                  <c:v>24016.704000000005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C-4686-8CF3-3ECD4FA6D53E}"/>
            </c:ext>
          </c:extLst>
        </c:ser>
        <c:ser>
          <c:idx val="2"/>
          <c:order val="2"/>
          <c:tx>
            <c:strRef>
              <c:f>'drinking milk'!$D$96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milk'!$A$97</c:f>
              <c:strCache>
                <c:ptCount val="1"/>
                <c:pt idx="0">
                  <c:v>Vietnam Dairy Products JSC </c:v>
                </c:pt>
              </c:strCache>
            </c:strRef>
          </c:cat>
          <c:val>
            <c:numRef>
              <c:f>'drinking milk'!$D$97</c:f>
              <c:numCache>
                <c:formatCode>General</c:formatCode>
                <c:ptCount val="1"/>
                <c:pt idx="0">
                  <c:v>26157.1548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C-4686-8CF3-3ECD4FA6D53E}"/>
            </c:ext>
          </c:extLst>
        </c:ser>
        <c:ser>
          <c:idx val="3"/>
          <c:order val="3"/>
          <c:tx>
            <c:strRef>
              <c:f>'drinking milk'!$E$96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milk'!$A$97</c:f>
              <c:strCache>
                <c:ptCount val="1"/>
                <c:pt idx="0">
                  <c:v>Vietnam Dairy Products JSC </c:v>
                </c:pt>
              </c:strCache>
            </c:strRef>
          </c:cat>
          <c:val>
            <c:numRef>
              <c:f>'drinking milk'!$E$97</c:f>
              <c:numCache>
                <c:formatCode>General</c:formatCode>
                <c:ptCount val="1"/>
                <c:pt idx="0">
                  <c:v>27401.003399999998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7C-4686-8CF3-3ECD4FA6D53E}"/>
            </c:ext>
          </c:extLst>
        </c:ser>
        <c:ser>
          <c:idx val="4"/>
          <c:order val="4"/>
          <c:tx>
            <c:strRef>
              <c:f>'drinking milk'!$F$96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'drinking milk'!$A$97</c:f>
              <c:strCache>
                <c:ptCount val="1"/>
                <c:pt idx="0">
                  <c:v>Vietnam Dairy Products JSC </c:v>
                </c:pt>
              </c:strCache>
            </c:strRef>
          </c:cat>
          <c:val>
            <c:numRef>
              <c:f>'drinking milk'!$F$97</c:f>
              <c:numCache>
                <c:formatCode>General</c:formatCode>
                <c:ptCount val="1"/>
                <c:pt idx="0">
                  <c:v>27325.682800000002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7C-4686-8CF3-3ECD4FA6D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89901568"/>
        <c:axId val="789901928"/>
      </c:barChart>
      <c:catAx>
        <c:axId val="7899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9901928"/>
        <c:crosses val="autoZero"/>
        <c:auto val="1"/>
        <c:lblAlgn val="ctr"/>
        <c:lblOffset val="100"/>
        <c:noMultiLvlLbl val="0"/>
      </c:catAx>
      <c:valAx>
        <c:axId val="789901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99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'drinking milk'!$Q$61</c:f>
              <c:strCache>
                <c:ptCount val="1"/>
                <c:pt idx="0">
                  <c:v>CAGR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491-495C-A975-9BF3D536178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404-4ACB-8E19-87D8142EF8C4}"/>
              </c:ext>
            </c:extLst>
          </c:dPt>
          <c:dLbls>
            <c:dLbl>
              <c:idx val="2"/>
              <c:layout>
                <c:manualLayout>
                  <c:x val="-0.19756689988227158"/>
                  <c:y val="3.91170752501644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04-4ACB-8E19-87D8142EF8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'drinking milk'!$P$62:$P$69</c:f>
              <c:strCache>
                <c:ptCount val="8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Royal FrieslandCampina NV</c:v>
                </c:pt>
                <c:pt idx="3">
                  <c:v>Nestlé SA</c:v>
                </c:pt>
                <c:pt idx="4">
                  <c:v>Coca-Cola Co, The</c:v>
                </c:pt>
                <c:pt idx="5">
                  <c:v>International Dairy Products JSC (IDP)</c:v>
                </c:pt>
                <c:pt idx="6">
                  <c:v>Others</c:v>
                </c:pt>
                <c:pt idx="7">
                  <c:v>Average</c:v>
                </c:pt>
              </c:strCache>
            </c:strRef>
          </c:cat>
          <c:val>
            <c:numRef>
              <c:f>'drinking milk'!$Q$62:$Q$69</c:f>
              <c:numCache>
                <c:formatCode>0.00%</c:formatCode>
                <c:ptCount val="8"/>
                <c:pt idx="0">
                  <c:v>7.6999999999999999E-2</c:v>
                </c:pt>
                <c:pt idx="1">
                  <c:v>0.13200000000000001</c:v>
                </c:pt>
                <c:pt idx="2">
                  <c:v>-7.0999999999999994E-2</c:v>
                </c:pt>
                <c:pt idx="3">
                  <c:v>9.8000000000000004E-2</c:v>
                </c:pt>
                <c:pt idx="4">
                  <c:v>0.107</c:v>
                </c:pt>
                <c:pt idx="5">
                  <c:v>0.23899999999999999</c:v>
                </c:pt>
                <c:pt idx="6">
                  <c:v>5.6363636363636366E-2</c:v>
                </c:pt>
                <c:pt idx="7">
                  <c:v>9.1194805194805204E-2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04-4ACB-8E19-87D8142EF8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735303152"/>
        <c:axId val="735308192"/>
      </c:barChart>
      <c:catAx>
        <c:axId val="73530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5308192"/>
        <c:crosses val="autoZero"/>
        <c:auto val="1"/>
        <c:lblAlgn val="ctr"/>
        <c:lblOffset val="100"/>
        <c:noMultiLvlLbl val="0"/>
      </c:catAx>
      <c:valAx>
        <c:axId val="73530819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73530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'drinking milk'!$E$148</c:f>
              <c:strCache>
                <c:ptCount val="1"/>
                <c:pt idx="0">
                  <c:v>Vinamilk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milk'!$F$147:$J$147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'drinking milk'!$F$148:$J$148</c:f>
              <c:numCache>
                <c:formatCode>General</c:formatCode>
                <c:ptCount val="5"/>
                <c:pt idx="0">
                  <c:v>17152.769899999999</c:v>
                </c:pt>
                <c:pt idx="1">
                  <c:v>20414.198400000001</c:v>
                </c:pt>
                <c:pt idx="2">
                  <c:v>22257.9516</c:v>
                </c:pt>
                <c:pt idx="3">
                  <c:v>23282.272200000003</c:v>
                </c:pt>
                <c:pt idx="4">
                  <c:v>23176.446800000002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9-4012-AD25-EB7920FF1A35}"/>
            </c:ext>
          </c:extLst>
        </c:ser>
        <c:ser>
          <c:idx val="1"/>
          <c:order val="1"/>
          <c:tx>
            <c:strRef>
              <c:f>'drinking milk'!$E$149</c:f>
              <c:strCache>
                <c:ptCount val="1"/>
                <c:pt idx="0">
                  <c:v>Dielac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milk'!$F$147:$J$147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'drinking milk'!$F$149:$J$149</c:f>
              <c:numCache>
                <c:formatCode>General</c:formatCode>
                <c:ptCount val="5"/>
                <c:pt idx="0">
                  <c:v>268.71179999999998</c:v>
                </c:pt>
                <c:pt idx="1">
                  <c:v>300.2088</c:v>
                </c:pt>
                <c:pt idx="2">
                  <c:v>270.77800000000002</c:v>
                </c:pt>
                <c:pt idx="3">
                  <c:v>286.02299999999997</c:v>
                </c:pt>
                <c:pt idx="4">
                  <c:v>296.37400000000002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9-4012-AD25-EB7920FF1A35}"/>
            </c:ext>
          </c:extLst>
        </c:ser>
        <c:ser>
          <c:idx val="2"/>
          <c:order val="2"/>
          <c:tx>
            <c:strRef>
              <c:f>'drinking milk'!$E$150</c:f>
              <c:strCache>
                <c:ptCount val="1"/>
                <c:pt idx="0">
                  <c:v>Moc Chau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milk'!$F$147:$J$147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'drinking milk'!$F$150:$J$150</c:f>
              <c:numCache>
                <c:formatCode>General</c:formatCode>
                <c:ptCount val="5"/>
                <c:pt idx="0">
                  <c:v>0</c:v>
                </c:pt>
                <c:pt idx="1">
                  <c:v>200.13920000000002</c:v>
                </c:pt>
                <c:pt idx="2">
                  <c:v>216.62240000000003</c:v>
                </c:pt>
                <c:pt idx="3">
                  <c:v>228.8184</c:v>
                </c:pt>
                <c:pt idx="4">
                  <c:v>237.09920000000002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F9-4012-AD25-EB7920FF1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9763808"/>
        <c:axId val="759756968"/>
      </c:barChart>
      <c:catAx>
        <c:axId val="7597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9756968"/>
        <c:crosses val="autoZero"/>
        <c:auto val="1"/>
        <c:lblAlgn val="ctr"/>
        <c:lblOffset val="100"/>
        <c:noMultiLvlLbl val="0"/>
      </c:catAx>
      <c:valAx>
        <c:axId val="759756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976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milk'!$G$147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'drinking milk'!$D$148:$E$153</c:f>
              <c:multiLvlStrCache>
                <c:ptCount val="6"/>
                <c:lvl>
                  <c:pt idx="0">
                    <c:v>Vinamilk </c:v>
                  </c:pt>
                  <c:pt idx="1">
                    <c:v>Dielac </c:v>
                  </c:pt>
                  <c:pt idx="2">
                    <c:v>Moc Chau </c:v>
                  </c:pt>
                  <c:pt idx="3">
                    <c:v>TH True Milk </c:v>
                  </c:pt>
                  <c:pt idx="4">
                    <c:v>Dalat Milk </c:v>
                  </c:pt>
                  <c:pt idx="5">
                    <c:v>TH True Nut </c:v>
                  </c:pt>
                </c:lvl>
                <c:lvl>
                  <c:pt idx="0">
                    <c:v>Vietnam Dairy Products JSC (Vinamilk)</c:v>
                  </c:pt>
                  <c:pt idx="3">
                    <c:v>TH Food Chain JSC</c:v>
                  </c:pt>
                </c:lvl>
              </c:multiLvlStrCache>
            </c:multiLvlStrRef>
          </c:cat>
          <c:val>
            <c:numRef>
              <c:f>'drinking milk'!$G$148:$G$153</c:f>
              <c:numCache>
                <c:formatCode>General</c:formatCode>
                <c:ptCount val="6"/>
                <c:pt idx="0">
                  <c:v>20414.198400000001</c:v>
                </c:pt>
                <c:pt idx="1">
                  <c:v>300.2088</c:v>
                </c:pt>
                <c:pt idx="2">
                  <c:v>200.13920000000002</c:v>
                </c:pt>
                <c:pt idx="3">
                  <c:v>6154.2804000000006</c:v>
                </c:pt>
                <c:pt idx="4">
                  <c:v>500.34800000000001</c:v>
                </c:pt>
                <c:pt idx="5">
                  <c:v>300.2088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2-4011-B31E-D27A8E54DD04}"/>
            </c:ext>
          </c:extLst>
        </c:ser>
        <c:ser>
          <c:idx val="1"/>
          <c:order val="1"/>
          <c:tx>
            <c:strRef>
              <c:f>'drinking milk'!$H$147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'drinking milk'!$D$148:$E$153</c:f>
              <c:multiLvlStrCache>
                <c:ptCount val="6"/>
                <c:lvl>
                  <c:pt idx="0">
                    <c:v>Vinamilk </c:v>
                  </c:pt>
                  <c:pt idx="1">
                    <c:v>Dielac </c:v>
                  </c:pt>
                  <c:pt idx="2">
                    <c:v>Moc Chau </c:v>
                  </c:pt>
                  <c:pt idx="3">
                    <c:v>TH True Milk </c:v>
                  </c:pt>
                  <c:pt idx="4">
                    <c:v>Dalat Milk </c:v>
                  </c:pt>
                  <c:pt idx="5">
                    <c:v>TH True Nut </c:v>
                  </c:pt>
                </c:lvl>
                <c:lvl>
                  <c:pt idx="0">
                    <c:v>Vietnam Dairy Products JSC (Vinamilk)</c:v>
                  </c:pt>
                  <c:pt idx="3">
                    <c:v>TH Food Chain JSC</c:v>
                  </c:pt>
                </c:lvl>
              </c:multiLvlStrCache>
            </c:multiLvlStrRef>
          </c:cat>
          <c:val>
            <c:numRef>
              <c:f>'drinking milk'!$H$148:$H$153</c:f>
              <c:numCache>
                <c:formatCode>General</c:formatCode>
                <c:ptCount val="6"/>
                <c:pt idx="0">
                  <c:v>22257.9516</c:v>
                </c:pt>
                <c:pt idx="1">
                  <c:v>270.77800000000002</c:v>
                </c:pt>
                <c:pt idx="2">
                  <c:v>216.62240000000003</c:v>
                </c:pt>
                <c:pt idx="3">
                  <c:v>6986.0724</c:v>
                </c:pt>
                <c:pt idx="4">
                  <c:v>541.55600000000004</c:v>
                </c:pt>
                <c:pt idx="5">
                  <c:v>216.62240000000003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2-4011-B31E-D27A8E54DD04}"/>
            </c:ext>
          </c:extLst>
        </c:ser>
        <c:ser>
          <c:idx val="2"/>
          <c:order val="2"/>
          <c:tx>
            <c:strRef>
              <c:f>'drinking milk'!$I$147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'drinking milk'!$D$148:$E$153</c:f>
              <c:multiLvlStrCache>
                <c:ptCount val="6"/>
                <c:lvl>
                  <c:pt idx="0">
                    <c:v>Vinamilk </c:v>
                  </c:pt>
                  <c:pt idx="1">
                    <c:v>Dielac </c:v>
                  </c:pt>
                  <c:pt idx="2">
                    <c:v>Moc Chau </c:v>
                  </c:pt>
                  <c:pt idx="3">
                    <c:v>TH True Milk </c:v>
                  </c:pt>
                  <c:pt idx="4">
                    <c:v>Dalat Milk </c:v>
                  </c:pt>
                  <c:pt idx="5">
                    <c:v>TH True Nut </c:v>
                  </c:pt>
                </c:lvl>
                <c:lvl>
                  <c:pt idx="0">
                    <c:v>Vietnam Dairy Products JSC (Vinamilk)</c:v>
                  </c:pt>
                  <c:pt idx="3">
                    <c:v>TH Food Chain JSC</c:v>
                  </c:pt>
                </c:lvl>
              </c:multiLvlStrCache>
            </c:multiLvlStrRef>
          </c:cat>
          <c:val>
            <c:numRef>
              <c:f>'drinking milk'!$I$148:$I$153</c:f>
              <c:numCache>
                <c:formatCode>General</c:formatCode>
                <c:ptCount val="6"/>
                <c:pt idx="0">
                  <c:v>23282.272200000003</c:v>
                </c:pt>
                <c:pt idx="1">
                  <c:v>286.02299999999997</c:v>
                </c:pt>
                <c:pt idx="2">
                  <c:v>228.8184</c:v>
                </c:pt>
                <c:pt idx="3">
                  <c:v>7608.2118000000009</c:v>
                </c:pt>
                <c:pt idx="4">
                  <c:v>572.04599999999994</c:v>
                </c:pt>
                <c:pt idx="5">
                  <c:v>286.02299999999997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E2-4011-B31E-D27A8E54DD04}"/>
            </c:ext>
          </c:extLst>
        </c:ser>
        <c:ser>
          <c:idx val="3"/>
          <c:order val="3"/>
          <c:tx>
            <c:strRef>
              <c:f>'drinking milk'!$J$147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'drinking milk'!$D$148:$E$153</c:f>
              <c:multiLvlStrCache>
                <c:ptCount val="6"/>
                <c:lvl>
                  <c:pt idx="0">
                    <c:v>Vinamilk </c:v>
                  </c:pt>
                  <c:pt idx="1">
                    <c:v>Dielac </c:v>
                  </c:pt>
                  <c:pt idx="2">
                    <c:v>Moc Chau </c:v>
                  </c:pt>
                  <c:pt idx="3">
                    <c:v>TH True Milk </c:v>
                  </c:pt>
                  <c:pt idx="4">
                    <c:v>Dalat Milk </c:v>
                  </c:pt>
                  <c:pt idx="5">
                    <c:v>TH True Nut </c:v>
                  </c:pt>
                </c:lvl>
                <c:lvl>
                  <c:pt idx="0">
                    <c:v>Vietnam Dairy Products JSC (Vinamilk)</c:v>
                  </c:pt>
                  <c:pt idx="3">
                    <c:v>TH Food Chain JSC</c:v>
                  </c:pt>
                </c:lvl>
              </c:multiLvlStrCache>
            </c:multiLvlStrRef>
          </c:cat>
          <c:val>
            <c:numRef>
              <c:f>'drinking milk'!$J$148:$J$153</c:f>
              <c:numCache>
                <c:formatCode>General</c:formatCode>
                <c:ptCount val="6"/>
                <c:pt idx="0">
                  <c:v>23176.446800000002</c:v>
                </c:pt>
                <c:pt idx="1">
                  <c:v>296.37400000000002</c:v>
                </c:pt>
                <c:pt idx="2">
                  <c:v>237.09920000000002</c:v>
                </c:pt>
                <c:pt idx="3">
                  <c:v>8002.0980000000009</c:v>
                </c:pt>
                <c:pt idx="4">
                  <c:v>592.74800000000005</c:v>
                </c:pt>
                <c:pt idx="5">
                  <c:v>296.37400000000002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6-4BC4-BC60-250F1D095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59139448"/>
        <c:axId val="859136928"/>
      </c:barChart>
      <c:catAx>
        <c:axId val="85913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9136928"/>
        <c:crosses val="autoZero"/>
        <c:auto val="1"/>
        <c:lblAlgn val="ctr"/>
        <c:lblOffset val="100"/>
        <c:noMultiLvlLbl val="0"/>
      </c:catAx>
      <c:valAx>
        <c:axId val="859136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5913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milk'!$G$147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milk'!$E$148:$E$150</c:f>
              <c:strCache>
                <c:ptCount val="3"/>
                <c:pt idx="0">
                  <c:v>Vinamilk </c:v>
                </c:pt>
                <c:pt idx="1">
                  <c:v>Dielac </c:v>
                </c:pt>
                <c:pt idx="2">
                  <c:v>Moc Chau </c:v>
                </c:pt>
              </c:strCache>
            </c:strRef>
          </c:cat>
          <c:val>
            <c:numRef>
              <c:f>'drinking milk'!$G$148:$G$150</c:f>
              <c:numCache>
                <c:formatCode>General</c:formatCode>
                <c:ptCount val="3"/>
                <c:pt idx="0">
                  <c:v>20414.198400000001</c:v>
                </c:pt>
                <c:pt idx="1">
                  <c:v>300.2088</c:v>
                </c:pt>
                <c:pt idx="2">
                  <c:v>200.13920000000002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F-4497-9602-562DA8D5446F}"/>
            </c:ext>
          </c:extLst>
        </c:ser>
        <c:ser>
          <c:idx val="1"/>
          <c:order val="1"/>
          <c:tx>
            <c:strRef>
              <c:f>'drinking milk'!$H$147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milk'!$E$148:$E$150</c:f>
              <c:strCache>
                <c:ptCount val="3"/>
                <c:pt idx="0">
                  <c:v>Vinamilk </c:v>
                </c:pt>
                <c:pt idx="1">
                  <c:v>Dielac </c:v>
                </c:pt>
                <c:pt idx="2">
                  <c:v>Moc Chau </c:v>
                </c:pt>
              </c:strCache>
            </c:strRef>
          </c:cat>
          <c:val>
            <c:numRef>
              <c:f>'drinking milk'!$H$148:$H$150</c:f>
              <c:numCache>
                <c:formatCode>General</c:formatCode>
                <c:ptCount val="3"/>
                <c:pt idx="0">
                  <c:v>22257.9516</c:v>
                </c:pt>
                <c:pt idx="1">
                  <c:v>270.77800000000002</c:v>
                </c:pt>
                <c:pt idx="2">
                  <c:v>216.62240000000003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F-4497-9602-562DA8D5446F}"/>
            </c:ext>
          </c:extLst>
        </c:ser>
        <c:ser>
          <c:idx val="2"/>
          <c:order val="2"/>
          <c:tx>
            <c:strRef>
              <c:f>'drinking milk'!$I$147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milk'!$E$148:$E$150</c:f>
              <c:strCache>
                <c:ptCount val="3"/>
                <c:pt idx="0">
                  <c:v>Vinamilk </c:v>
                </c:pt>
                <c:pt idx="1">
                  <c:v>Dielac </c:v>
                </c:pt>
                <c:pt idx="2">
                  <c:v>Moc Chau </c:v>
                </c:pt>
              </c:strCache>
            </c:strRef>
          </c:cat>
          <c:val>
            <c:numRef>
              <c:f>'drinking milk'!$I$148:$I$150</c:f>
              <c:numCache>
                <c:formatCode>General</c:formatCode>
                <c:ptCount val="3"/>
                <c:pt idx="0">
                  <c:v>23282.272200000003</c:v>
                </c:pt>
                <c:pt idx="1">
                  <c:v>286.02299999999997</c:v>
                </c:pt>
                <c:pt idx="2">
                  <c:v>228.8184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F-4497-9602-562DA8D5446F}"/>
            </c:ext>
          </c:extLst>
        </c:ser>
        <c:ser>
          <c:idx val="3"/>
          <c:order val="3"/>
          <c:tx>
            <c:strRef>
              <c:f>'drinking milk'!$J$147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milk'!$E$148:$E$150</c:f>
              <c:strCache>
                <c:ptCount val="3"/>
                <c:pt idx="0">
                  <c:v>Vinamilk </c:v>
                </c:pt>
                <c:pt idx="1">
                  <c:v>Dielac </c:v>
                </c:pt>
                <c:pt idx="2">
                  <c:v>Moc Chau </c:v>
                </c:pt>
              </c:strCache>
            </c:strRef>
          </c:cat>
          <c:val>
            <c:numRef>
              <c:f>'drinking milk'!$J$148:$J$150</c:f>
              <c:numCache>
                <c:formatCode>General</c:formatCode>
                <c:ptCount val="3"/>
                <c:pt idx="0">
                  <c:v>23176.446800000002</c:v>
                </c:pt>
                <c:pt idx="1">
                  <c:v>296.37400000000002</c:v>
                </c:pt>
                <c:pt idx="2">
                  <c:v>237.09920000000002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8-44E3-A852-971BFEABF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9394287"/>
        <c:axId val="770612176"/>
      </c:barChart>
      <c:catAx>
        <c:axId val="186939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12176"/>
        <c:crosses val="autoZero"/>
        <c:auto val="1"/>
        <c:lblAlgn val="ctr"/>
        <c:lblOffset val="100"/>
        <c:noMultiLvlLbl val="0"/>
      </c:catAx>
      <c:valAx>
        <c:axId val="77061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39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029619494537052E-2"/>
          <c:y val="4.6296296296296294E-2"/>
          <c:w val="0.90029323772307512"/>
          <c:h val="0.8638192621755613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0">
                  <a:schemeClr val="accent1">
                    <a:lumMod val="45000"/>
                    <a:lumOff val="55000"/>
                  </a:schemeClr>
                </a:gs>
                <a:gs pos="0">
                  <a:srgbClr val="0070C0"/>
                </a:gs>
                <a:gs pos="0">
                  <a:srgbClr val="007B76"/>
                </a:gs>
                <a:gs pos="52000">
                  <a:schemeClr val="accent4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milk'!$M$187:$Q$187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'drinking milk'!$M$188:$Q$188</c:f>
              <c:numCache>
                <c:formatCode>General</c:formatCode>
                <c:ptCount val="5"/>
                <c:pt idx="0">
                  <c:v>26.2</c:v>
                </c:pt>
                <c:pt idx="1">
                  <c:v>27.2</c:v>
                </c:pt>
                <c:pt idx="2">
                  <c:v>27.5</c:v>
                </c:pt>
                <c:pt idx="3">
                  <c:v>27.8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3-4389-8BAB-052193CBB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5188975"/>
        <c:axId val="189627903"/>
      </c:barChart>
      <c:catAx>
        <c:axId val="17518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627903"/>
        <c:crosses val="autoZero"/>
        <c:auto val="1"/>
        <c:lblAlgn val="ctr"/>
        <c:lblOffset val="100"/>
        <c:noMultiLvlLbl val="0"/>
      </c:catAx>
      <c:valAx>
        <c:axId val="1896279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518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0660902154274"/>
          <c:y val="3.680740533619814E-2"/>
          <c:w val="0.84892747337938901"/>
          <c:h val="0.554081249724065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'drinking milk'!$C$96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milk'!$A$97:$A$103</c:f>
              <c:strCache>
                <c:ptCount val="7"/>
                <c:pt idx="0">
                  <c:v>Vietnam Dairy Products JSC 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</c:v>
                </c:pt>
                <c:pt idx="5">
                  <c:v>Coca-Cola Beverages Vietnam Co Ltd</c:v>
                </c:pt>
                <c:pt idx="6">
                  <c:v>Others</c:v>
                </c:pt>
              </c:strCache>
            </c:strRef>
          </c:cat>
          <c:val>
            <c:numRef>
              <c:f>'drinking milk'!$C$97:$C$103</c:f>
              <c:numCache>
                <c:formatCode>General</c:formatCode>
                <c:ptCount val="7"/>
                <c:pt idx="0">
                  <c:v>24016.704000000005</c:v>
                </c:pt>
                <c:pt idx="1">
                  <c:v>6954.8372000000008</c:v>
                </c:pt>
                <c:pt idx="2">
                  <c:v>6804.7328000000007</c:v>
                </c:pt>
                <c:pt idx="3">
                  <c:v>3952.7492000000002</c:v>
                </c:pt>
                <c:pt idx="4">
                  <c:v>1250.8699999999999</c:v>
                </c:pt>
                <c:pt idx="5">
                  <c:v>1901.3224</c:v>
                </c:pt>
                <c:pt idx="6">
                  <c:v>5153.5843999999997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6-47A3-9E9D-D5B71D3E9542}"/>
            </c:ext>
          </c:extLst>
        </c:ser>
        <c:ser>
          <c:idx val="1"/>
          <c:order val="1"/>
          <c:tx>
            <c:strRef>
              <c:f>'drinking milk'!$D$96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milk'!$A$97:$A$103</c:f>
              <c:strCache>
                <c:ptCount val="7"/>
                <c:pt idx="0">
                  <c:v>Vietnam Dairy Products JSC 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</c:v>
                </c:pt>
                <c:pt idx="5">
                  <c:v>Coca-Cola Beverages Vietnam Co Ltd</c:v>
                </c:pt>
                <c:pt idx="6">
                  <c:v>Others</c:v>
                </c:pt>
              </c:strCache>
            </c:strRef>
          </c:cat>
          <c:val>
            <c:numRef>
              <c:f>'drinking milk'!$D$97:$D$103</c:f>
              <c:numCache>
                <c:formatCode>General</c:formatCode>
                <c:ptCount val="7"/>
                <c:pt idx="0">
                  <c:v>26157.1548</c:v>
                </c:pt>
                <c:pt idx="1">
                  <c:v>7744.2508000000007</c:v>
                </c:pt>
                <c:pt idx="2">
                  <c:v>6173.7383999999993</c:v>
                </c:pt>
                <c:pt idx="3">
                  <c:v>4440.7591999999995</c:v>
                </c:pt>
                <c:pt idx="4">
                  <c:v>1732.9792000000002</c:v>
                </c:pt>
                <c:pt idx="5">
                  <c:v>2220.3795999999998</c:v>
                </c:pt>
                <c:pt idx="6">
                  <c:v>5632.1823999999997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6-47A3-9E9D-D5B71D3E9542}"/>
            </c:ext>
          </c:extLst>
        </c:ser>
        <c:ser>
          <c:idx val="2"/>
          <c:order val="2"/>
          <c:tx>
            <c:strRef>
              <c:f>'drinking milk'!$E$96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milk'!$A$97:$A$103</c:f>
              <c:strCache>
                <c:ptCount val="7"/>
                <c:pt idx="0">
                  <c:v>Vietnam Dairy Products JSC 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</c:v>
                </c:pt>
                <c:pt idx="5">
                  <c:v>Coca-Cola Beverages Vietnam Co Ltd</c:v>
                </c:pt>
                <c:pt idx="6">
                  <c:v>Others</c:v>
                </c:pt>
              </c:strCache>
            </c:strRef>
          </c:cat>
          <c:val>
            <c:numRef>
              <c:f>'drinking milk'!$E$97:$E$103</c:f>
              <c:numCache>
                <c:formatCode>General</c:formatCode>
                <c:ptCount val="7"/>
                <c:pt idx="0">
                  <c:v>27401.003399999998</c:v>
                </c:pt>
                <c:pt idx="1">
                  <c:v>8466.2808000000005</c:v>
                </c:pt>
                <c:pt idx="2">
                  <c:v>5949.2783999999992</c:v>
                </c:pt>
                <c:pt idx="3">
                  <c:v>4747.9818000000005</c:v>
                </c:pt>
                <c:pt idx="4">
                  <c:v>2116.5702000000001</c:v>
                </c:pt>
                <c:pt idx="5">
                  <c:v>2402.5932000000003</c:v>
                </c:pt>
                <c:pt idx="6">
                  <c:v>6120.8922000000011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6-47A3-9E9D-D5B71D3E9542}"/>
            </c:ext>
          </c:extLst>
        </c:ser>
        <c:ser>
          <c:idx val="3"/>
          <c:order val="3"/>
          <c:tx>
            <c:strRef>
              <c:f>'drinking milk'!$F$96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'drinking milk'!$A$97:$A$103</c:f>
              <c:strCache>
                <c:ptCount val="7"/>
                <c:pt idx="0">
                  <c:v>Vietnam Dairy Products JSC 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</c:v>
                </c:pt>
                <c:pt idx="5">
                  <c:v>Coca-Cola Beverages Vietnam Co Ltd</c:v>
                </c:pt>
                <c:pt idx="6">
                  <c:v>Others</c:v>
                </c:pt>
              </c:strCache>
            </c:strRef>
          </c:cat>
          <c:val>
            <c:numRef>
              <c:f>'drinking milk'!$F$97:$F$103</c:f>
              <c:numCache>
                <c:formatCode>General</c:formatCode>
                <c:ptCount val="7"/>
                <c:pt idx="0">
                  <c:v>27325.682800000002</c:v>
                </c:pt>
                <c:pt idx="1">
                  <c:v>8950.4948000000004</c:v>
                </c:pt>
                <c:pt idx="2">
                  <c:v>6164.5792000000001</c:v>
                </c:pt>
                <c:pt idx="3">
                  <c:v>4979.0832000000009</c:v>
                </c:pt>
                <c:pt idx="4">
                  <c:v>2667.3660000000004</c:v>
                </c:pt>
                <c:pt idx="5">
                  <c:v>2726.6408000000001</c:v>
                </c:pt>
                <c:pt idx="6">
                  <c:v>6579.5028000000002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D-4D6A-A696-E5A73FD4E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35323391"/>
        <c:axId val="1048480799"/>
      </c:barChart>
      <c:catAx>
        <c:axId val="13353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8480799"/>
        <c:crosses val="autoZero"/>
        <c:auto val="1"/>
        <c:lblAlgn val="ctr"/>
        <c:lblOffset val="100"/>
        <c:noMultiLvlLbl val="0"/>
      </c:catAx>
      <c:valAx>
        <c:axId val="104848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3532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milk'!$N$209</c:f>
              <c:strCache>
                <c:ptCount val="1"/>
                <c:pt idx="0">
                  <c:v>Vinamilk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milk'!$O$208:$R$208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'drinking milk'!$O$209:$R$209</c:f>
              <c:numCache>
                <c:formatCode>General</c:formatCode>
                <c:ptCount val="4"/>
                <c:pt idx="0">
                  <c:v>27</c:v>
                </c:pt>
                <c:pt idx="1">
                  <c:v>29</c:v>
                </c:pt>
                <c:pt idx="2">
                  <c:v>30</c:v>
                </c:pt>
                <c:pt idx="3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9-42D6-8335-FC1671C5A845}"/>
            </c:ext>
          </c:extLst>
        </c:ser>
        <c:ser>
          <c:idx val="1"/>
          <c:order val="1"/>
          <c:tx>
            <c:strRef>
              <c:f>'drinking milk'!$N$210</c:f>
              <c:strCache>
                <c:ptCount val="1"/>
                <c:pt idx="0">
                  <c:v>Farmer-cooperative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'drinking milk'!$O$208:$R$208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'drinking milk'!$O$210:$R$210</c:f>
              <c:numCache>
                <c:formatCode>General</c:formatCode>
                <c:ptCount val="4"/>
                <c:pt idx="0">
                  <c:v>92</c:v>
                </c:pt>
                <c:pt idx="1">
                  <c:v>93</c:v>
                </c:pt>
                <c:pt idx="2">
                  <c:v>93</c:v>
                </c:pt>
                <c:pt idx="3">
                  <c:v>94.3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9-42D6-8335-FC1671C5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802224"/>
        <c:axId val="809049663"/>
      </c:barChart>
      <c:lineChart>
        <c:grouping val="standard"/>
        <c:varyColors val="0"/>
        <c:ser>
          <c:idx val="2"/>
          <c:order val="2"/>
          <c:tx>
            <c:strRef>
              <c:f>'drinking milk'!$N$211</c:f>
              <c:strCache>
                <c:ptCount val="1"/>
                <c:pt idx="0">
                  <c:v>Productivity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'drinking milk'!$O$208:$R$208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'drinking milk'!$O$211:$R$211</c:f>
              <c:numCache>
                <c:formatCode>General</c:formatCode>
                <c:ptCount val="4"/>
                <c:pt idx="0">
                  <c:v>27.2</c:v>
                </c:pt>
                <c:pt idx="1">
                  <c:v>27.5</c:v>
                </c:pt>
                <c:pt idx="2">
                  <c:v>27.8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9-42D6-8335-FC1671C5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9752576"/>
        <c:axId val="809035263"/>
      </c:lineChart>
      <c:catAx>
        <c:axId val="122980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049663"/>
        <c:crosses val="autoZero"/>
        <c:auto val="1"/>
        <c:lblAlgn val="ctr"/>
        <c:lblOffset val="100"/>
        <c:noMultiLvlLbl val="0"/>
      </c:catAx>
      <c:valAx>
        <c:axId val="80904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802224"/>
        <c:crosses val="autoZero"/>
        <c:crossBetween val="between"/>
      </c:valAx>
      <c:valAx>
        <c:axId val="8090352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752576"/>
        <c:crosses val="max"/>
        <c:crossBetween val="between"/>
      </c:valAx>
      <c:catAx>
        <c:axId val="12297525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9035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market</a:t>
            </a:r>
            <a:r>
              <a:rPr lang="en-US" baseline="0"/>
              <a:t> sahre of bby fud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'baby food'!$U$6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E97-4913-9A62-9EFA9C9CF23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4E97-4913-9A62-9EFA9C9CF23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E97-4913-9A62-9EFA9C9CF23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E97-4913-9A62-9EFA9C9CF23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4E97-4913-9A62-9EFA9C9CF23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E97-4913-9A62-9EFA9C9CF23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E97-4913-9A62-9EFA9C9CF233}"/>
              </c:ext>
            </c:extLst>
          </c:dPt>
          <c:dLbls>
            <c:dLbl>
              <c:idx val="0"/>
              <c:layout>
                <c:manualLayout>
                  <c:x val="-0.16597510373443983"/>
                  <c:y val="0.15327102803738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97-4913-9A62-9EFA9C9CF233}"/>
                </c:ext>
              </c:extLst>
            </c:dLbl>
            <c:dLbl>
              <c:idx val="1"/>
              <c:layout>
                <c:manualLayout>
                  <c:x val="-0.1896858328393598"/>
                  <c:y val="-0.123364485981308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E97-4913-9A62-9EFA9C9CF233}"/>
                </c:ext>
              </c:extLst>
            </c:dLbl>
            <c:dLbl>
              <c:idx val="2"/>
              <c:layout>
                <c:manualLayout>
                  <c:x val="1.0669828097213903E-2"/>
                  <c:y val="-0.1196260210464346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803784381724069"/>
                      <c:h val="0.1734579439252336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E97-4913-9A62-9EFA9C9CF233}"/>
                </c:ext>
              </c:extLst>
            </c:dLbl>
            <c:dLbl>
              <c:idx val="3"/>
              <c:layout>
                <c:manualLayout>
                  <c:x val="0.14226437462951982"/>
                  <c:y val="-0.1514018691588785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94970804997922"/>
                      <c:h val="0.155514018691588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E97-4913-9A62-9EFA9C9CF233}"/>
                </c:ext>
              </c:extLst>
            </c:dLbl>
            <c:dLbl>
              <c:idx val="4"/>
              <c:layout>
                <c:manualLayout>
                  <c:x val="0.16834617664493184"/>
                  <c:y val="3.738317757009345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97-4913-9A62-9EFA9C9CF233}"/>
                </c:ext>
              </c:extLst>
            </c:dLbl>
            <c:dLbl>
              <c:idx val="5"/>
              <c:layout>
                <c:manualLayout>
                  <c:x val="0.1564907187431446"/>
                  <c:y val="0.1308411214953270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2040000" spcFirstLastPara="1" vertOverflow="ellipsis" wrap="square" anchor="ctr" anchorCtr="1"/>
                <a:lstStyle/>
                <a:p>
                  <a:pPr>
                    <a:defRPr sz="76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53617053055087"/>
                      <c:h val="0.2024396202811097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4E97-4913-9A62-9EFA9C9CF233}"/>
                </c:ext>
              </c:extLst>
            </c:dLbl>
            <c:dLbl>
              <c:idx val="6"/>
              <c:layout>
                <c:manualLayout>
                  <c:x val="6.4018968583284028E-2"/>
                  <c:y val="0.153271028037383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97-4913-9A62-9EFA9C9CF2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'baby food'!$T$7:$T$13</c:f>
              <c:strCache>
                <c:ptCount val="7"/>
                <c:pt idx="0">
                  <c:v>Abbott Vietnam Co Ltd</c:v>
                </c:pt>
                <c:pt idx="1">
                  <c:v>Vietnam Dairy Products JSC (Vinamilk)</c:v>
                </c:pt>
                <c:pt idx="2">
                  <c:v>Nestlé Vietnam Co Ltd</c:v>
                </c:pt>
                <c:pt idx="3">
                  <c:v>Mead Johnson Nutrition (Vietnam) Co Ltd</c:v>
                </c:pt>
                <c:pt idx="4">
                  <c:v>FrieslandCampina Vietnam Co Ltd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'baby food'!$U$7:$U$13</c:f>
              <c:numCache>
                <c:formatCode>#,##0.0</c:formatCode>
                <c:ptCount val="7"/>
                <c:pt idx="0">
                  <c:v>23.2</c:v>
                </c:pt>
                <c:pt idx="1">
                  <c:v>20</c:v>
                </c:pt>
                <c:pt idx="2">
                  <c:v>14.4</c:v>
                </c:pt>
                <c:pt idx="3">
                  <c:v>12.1</c:v>
                </c:pt>
                <c:pt idx="4">
                  <c:v>10.8</c:v>
                </c:pt>
                <c:pt idx="5">
                  <c:v>6.6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7-4913-9A62-9EFA9C9CF23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Baby food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363478434555062E-2"/>
          <c:y val="0.19143033377881633"/>
          <c:w val="0.89100329903932574"/>
          <c:h val="0.734416199650467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'baby food'!$M$28</c:f>
              <c:strCache>
                <c:ptCount val="1"/>
                <c:pt idx="0">
                  <c:v>Vietnam Dairy Products JSC (Vinamilk)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'baby food'!$N$27:$R$27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'baby food'!$O$28:$S$28</c:f>
              <c:numCache>
                <c:formatCode>#,##0.0</c:formatCode>
                <c:ptCount val="5"/>
                <c:pt idx="0">
                  <c:v>19</c:v>
                </c:pt>
                <c:pt idx="1">
                  <c:v>19.899999999999999</c:v>
                </c:pt>
                <c:pt idx="2">
                  <c:v>21.1</c:v>
                </c:pt>
                <c:pt idx="3">
                  <c:v>22.4</c:v>
                </c:pt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1-4541-A971-4A1F34114F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1102200"/>
        <c:axId val="841103280"/>
      </c:barChart>
      <c:catAx>
        <c:axId val="84110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1103280"/>
        <c:crosses val="autoZero"/>
        <c:auto val="1"/>
        <c:lblAlgn val="ctr"/>
        <c:lblOffset val="100"/>
        <c:noMultiLvlLbl val="0"/>
      </c:catAx>
      <c:valAx>
        <c:axId val="84110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110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059278199994413E-2"/>
          <c:y val="5.0925925925925923E-2"/>
          <c:w val="0.91892509541136713"/>
          <c:h val="0.77935329411350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'baby food'!$N$6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food'!$L$7:$L$13</c:f>
              <c:strCache>
                <c:ptCount val="7"/>
                <c:pt idx="0">
                  <c:v>Vinamilk</c:v>
                </c:pt>
                <c:pt idx="1">
                  <c:v>Abbott</c:v>
                </c:pt>
                <c:pt idx="2">
                  <c:v>Nestlé </c:v>
                </c:pt>
                <c:pt idx="3">
                  <c:v>Mead Johnson </c:v>
                </c:pt>
                <c:pt idx="4">
                  <c:v>Friesland Campina 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'baby food'!$N$7:$N$13</c:f>
              <c:numCache>
                <c:formatCode>#,##0.0</c:formatCode>
                <c:ptCount val="7"/>
                <c:pt idx="0">
                  <c:v>24.4</c:v>
                </c:pt>
                <c:pt idx="1">
                  <c:v>19</c:v>
                </c:pt>
                <c:pt idx="2">
                  <c:v>11.9</c:v>
                </c:pt>
                <c:pt idx="3">
                  <c:v>10.7</c:v>
                </c:pt>
                <c:pt idx="4">
                  <c:v>12</c:v>
                </c:pt>
                <c:pt idx="5">
                  <c:v>12.8</c:v>
                </c:pt>
                <c:pt idx="6">
                  <c:v>9.1999999999999993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3-4B03-9503-E5D18B35489D}"/>
            </c:ext>
          </c:extLst>
        </c:ser>
        <c:ser>
          <c:idx val="1"/>
          <c:order val="1"/>
          <c:tx>
            <c:strRef>
              <c:f>'baby food'!$O$6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food'!$L$7:$L$13</c:f>
              <c:strCache>
                <c:ptCount val="7"/>
                <c:pt idx="0">
                  <c:v>Vinamilk</c:v>
                </c:pt>
                <c:pt idx="1">
                  <c:v>Abbott</c:v>
                </c:pt>
                <c:pt idx="2">
                  <c:v>Nestlé </c:v>
                </c:pt>
                <c:pt idx="3">
                  <c:v>Mead Johnson </c:v>
                </c:pt>
                <c:pt idx="4">
                  <c:v>Friesland Campina 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'baby food'!$O$7:$O$13</c:f>
              <c:numCache>
                <c:formatCode>#,##0.0</c:formatCode>
                <c:ptCount val="7"/>
                <c:pt idx="0">
                  <c:v>23.2</c:v>
                </c:pt>
                <c:pt idx="1">
                  <c:v>19.899999999999999</c:v>
                </c:pt>
                <c:pt idx="2">
                  <c:v>12.1</c:v>
                </c:pt>
                <c:pt idx="3">
                  <c:v>11</c:v>
                </c:pt>
                <c:pt idx="4">
                  <c:v>11.7</c:v>
                </c:pt>
                <c:pt idx="5">
                  <c:v>12</c:v>
                </c:pt>
                <c:pt idx="6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3-4B03-9503-E5D18B35489D}"/>
            </c:ext>
          </c:extLst>
        </c:ser>
        <c:ser>
          <c:idx val="2"/>
          <c:order val="2"/>
          <c:tx>
            <c:strRef>
              <c:f>'baby food'!$P$6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food'!$L$7:$L$13</c:f>
              <c:strCache>
                <c:ptCount val="7"/>
                <c:pt idx="0">
                  <c:v>Vinamilk</c:v>
                </c:pt>
                <c:pt idx="1">
                  <c:v>Abbott</c:v>
                </c:pt>
                <c:pt idx="2">
                  <c:v>Nestlé </c:v>
                </c:pt>
                <c:pt idx="3">
                  <c:v>Mead Johnson </c:v>
                </c:pt>
                <c:pt idx="4">
                  <c:v>Friesland Campina 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'baby food'!$P$7:$P$13</c:f>
              <c:numCache>
                <c:formatCode>#,##0.0</c:formatCode>
                <c:ptCount val="7"/>
                <c:pt idx="0">
                  <c:v>21.5</c:v>
                </c:pt>
                <c:pt idx="1">
                  <c:v>21.1</c:v>
                </c:pt>
                <c:pt idx="2">
                  <c:v>12.6</c:v>
                </c:pt>
                <c:pt idx="3">
                  <c:v>11.4</c:v>
                </c:pt>
                <c:pt idx="4">
                  <c:v>11.5</c:v>
                </c:pt>
                <c:pt idx="5">
                  <c:v>10.8</c:v>
                </c:pt>
                <c:pt idx="6">
                  <c:v>11.1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23-4B03-9503-E5D18B35489D}"/>
            </c:ext>
          </c:extLst>
        </c:ser>
        <c:ser>
          <c:idx val="3"/>
          <c:order val="3"/>
          <c:tx>
            <c:strRef>
              <c:f>'baby food'!$Q$6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food'!$L$7:$L$13</c:f>
              <c:strCache>
                <c:ptCount val="7"/>
                <c:pt idx="0">
                  <c:v>Vinamilk</c:v>
                </c:pt>
                <c:pt idx="1">
                  <c:v>Abbott</c:v>
                </c:pt>
                <c:pt idx="2">
                  <c:v>Nestlé </c:v>
                </c:pt>
                <c:pt idx="3">
                  <c:v>Mead Johnson </c:v>
                </c:pt>
                <c:pt idx="4">
                  <c:v>Friesland Campina </c:v>
                </c:pt>
                <c:pt idx="5">
                  <c:v>Nutifood </c:v>
                </c:pt>
                <c:pt idx="6">
                  <c:v>Others</c:v>
                </c:pt>
              </c:strCache>
            </c:strRef>
          </c:cat>
          <c:val>
            <c:numRef>
              <c:f>'baby food'!$Q$7:$Q$13</c:f>
              <c:numCache>
                <c:formatCode>#,##0.0</c:formatCode>
                <c:ptCount val="7"/>
                <c:pt idx="0">
                  <c:v>19.899999999999999</c:v>
                </c:pt>
                <c:pt idx="1">
                  <c:v>22.4</c:v>
                </c:pt>
                <c:pt idx="2">
                  <c:v>13.7</c:v>
                </c:pt>
                <c:pt idx="3">
                  <c:v>11.9</c:v>
                </c:pt>
                <c:pt idx="4">
                  <c:v>11.3</c:v>
                </c:pt>
                <c:pt idx="5">
                  <c:v>8.6</c:v>
                </c:pt>
                <c:pt idx="6">
                  <c:v>12.1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A-4271-9776-96E77480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27187760"/>
        <c:axId val="727186320"/>
      </c:barChart>
      <c:catAx>
        <c:axId val="72718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7186320"/>
        <c:crosses val="autoZero"/>
        <c:auto val="1"/>
        <c:lblAlgn val="ctr"/>
        <c:lblOffset val="100"/>
        <c:noMultiLvlLbl val="0"/>
      </c:catAx>
      <c:valAx>
        <c:axId val="727186320"/>
        <c:scaling>
          <c:orientation val="minMax"/>
          <c:max val="25"/>
        </c:scaling>
        <c:delete val="0"/>
        <c:axPos val="l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2718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'baby food'!$O$44</c:f>
              <c:strCache>
                <c:ptCount val="1"/>
                <c:pt idx="0">
                  <c:v>Growth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'baby food'!$P$43:$T$43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'baby food'!$P$44:$T$44</c:f>
              <c:numCache>
                <c:formatCode>0.00%</c:formatCode>
                <c:ptCount val="5"/>
                <c:pt idx="0">
                  <c:v>2.6000000000000002E-2</c:v>
                </c:pt>
                <c:pt idx="1">
                  <c:v>-2E-3</c:v>
                </c:pt>
                <c:pt idx="2">
                  <c:v>0</c:v>
                </c:pt>
                <c:pt idx="3">
                  <c:v>-1.8000000000000002E-2</c:v>
                </c:pt>
                <c:pt idx="4">
                  <c:v>-1E-3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E17-A45E-663D714D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062176"/>
        <c:axId val="796062536"/>
      </c:barChart>
      <c:lineChart>
        <c:grouping val="standard"/>
        <c:varyColors val="0"/>
        <c:ser>
          <c:idx val="1"/>
          <c:order val="1"/>
          <c:tx>
            <c:strRef>
              <c:f>'baby food'!$O$45</c:f>
              <c:strCache>
                <c:ptCount val="1"/>
                <c:pt idx="0">
                  <c:v>Revenue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'baby food'!$P$43:$T$43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'baby food'!$P$45:$T$45</c:f>
              <c:numCache>
                <c:formatCode>#,##0.0</c:formatCode>
                <c:ptCount val="5"/>
                <c:pt idx="0">
                  <c:v>33134.9</c:v>
                </c:pt>
                <c:pt idx="1">
                  <c:v>33067</c:v>
                </c:pt>
                <c:pt idx="2">
                  <c:v>33078.1</c:v>
                </c:pt>
                <c:pt idx="3">
                  <c:v>32479.200000000001</c:v>
                </c:pt>
                <c:pt idx="4">
                  <c:v>32461.8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D-4E17-A45E-663D714D6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6057496"/>
        <c:axId val="796059656"/>
      </c:lineChart>
      <c:catAx>
        <c:axId val="7960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96062536"/>
        <c:crosses val="autoZero"/>
        <c:auto val="1"/>
        <c:lblAlgn val="ctr"/>
        <c:lblOffset val="100"/>
        <c:noMultiLvlLbl val="0"/>
      </c:catAx>
      <c:valAx>
        <c:axId val="79606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96062176"/>
        <c:crosses val="autoZero"/>
        <c:crossBetween val="between"/>
      </c:valAx>
      <c:valAx>
        <c:axId val="796059656"/>
        <c:scaling>
          <c:orientation val="minMax"/>
        </c:scaling>
        <c:delete val="0"/>
        <c:axPos val="r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96057496"/>
        <c:crosses val="max"/>
        <c:crossBetween val="between"/>
      </c:valAx>
      <c:catAx>
        <c:axId val="796057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60596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'baby food'!$O$48</c:f>
              <c:strCache>
                <c:ptCount val="1"/>
                <c:pt idx="0">
                  <c:v>VNM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'baby food'!$P$47:$T$47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'baby food'!$P$48:$T$48</c:f>
              <c:numCache>
                <c:formatCode>General</c:formatCode>
                <c:ptCount val="5"/>
                <c:pt idx="0">
                  <c:v>8118.0505000000003</c:v>
                </c:pt>
                <c:pt idx="1">
                  <c:v>8068.347999999999</c:v>
                </c:pt>
                <c:pt idx="2">
                  <c:v>7674.1191999999992</c:v>
                </c:pt>
                <c:pt idx="3">
                  <c:v>6983.0280000000002</c:v>
                </c:pt>
                <c:pt idx="4">
                  <c:v>6459.8981999999996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9-4E7E-8B4D-FBE2D4C6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274760"/>
        <c:axId val="733191336"/>
      </c:barChart>
      <c:lineChart>
        <c:grouping val="standard"/>
        <c:varyColors val="0"/>
        <c:ser>
          <c:idx val="1"/>
          <c:order val="1"/>
          <c:tx>
            <c:strRef>
              <c:f>'baby food'!$O$49</c:f>
              <c:strCache>
                <c:ptCount val="1"/>
                <c:pt idx="0">
                  <c:v>Share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'baby food'!$P$47:$T$47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'baby food'!$P$49:$T$49</c:f>
              <c:numCache>
                <c:formatCode>#,##0.0</c:formatCode>
                <c:ptCount val="5"/>
                <c:pt idx="0">
                  <c:v>24.5</c:v>
                </c:pt>
                <c:pt idx="1">
                  <c:v>24.4</c:v>
                </c:pt>
                <c:pt idx="2">
                  <c:v>23.2</c:v>
                </c:pt>
                <c:pt idx="3">
                  <c:v>21.5</c:v>
                </c:pt>
                <c:pt idx="4">
                  <c:v>19.899999999999999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9-4E7E-8B4D-FBE2D4C62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231096"/>
        <c:axId val="658655072"/>
      </c:lineChart>
      <c:catAx>
        <c:axId val="73027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3191336"/>
        <c:crosses val="autoZero"/>
        <c:auto val="1"/>
        <c:lblAlgn val="ctr"/>
        <c:lblOffset val="100"/>
        <c:noMultiLvlLbl val="0"/>
      </c:catAx>
      <c:valAx>
        <c:axId val="733191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30274760"/>
        <c:crosses val="autoZero"/>
        <c:crossBetween val="between"/>
      </c:valAx>
      <c:valAx>
        <c:axId val="658655072"/>
        <c:scaling>
          <c:orientation val="minMax"/>
        </c:scaling>
        <c:delete val="0"/>
        <c:axPos val="r"/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2231096"/>
        <c:crosses val="max"/>
        <c:crossBetween val="between"/>
      </c:valAx>
      <c:catAx>
        <c:axId val="972231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8655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'baby food'!$H$29</c:f>
              <c:strCache>
                <c:ptCount val="1"/>
                <c:pt idx="0">
                  <c:v>CAGR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BF-4B0A-9C96-D3A29DA805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'baby food'!$G$30:$G$37</c:f>
              <c:strCache>
                <c:ptCount val="8"/>
                <c:pt idx="0">
                  <c:v>Abbott Vietnam Co Ltd</c:v>
                </c:pt>
                <c:pt idx="1">
                  <c:v>Vietnam Dairy Products JSC (Vinamilk)</c:v>
                </c:pt>
                <c:pt idx="2">
                  <c:v>Nestlé Vietnam Co Ltd</c:v>
                </c:pt>
                <c:pt idx="3">
                  <c:v>Reckitt Benckiser Group Plc (RB)</c:v>
                </c:pt>
                <c:pt idx="4">
                  <c:v>FrieslandCampina Vietnam Co Ltd</c:v>
                </c:pt>
                <c:pt idx="5">
                  <c:v>Nutifood Nutrition Food JSC</c:v>
                </c:pt>
                <c:pt idx="6">
                  <c:v>Others</c:v>
                </c:pt>
                <c:pt idx="7">
                  <c:v>Average</c:v>
                </c:pt>
              </c:strCache>
            </c:strRef>
          </c:cat>
          <c:val>
            <c:numRef>
              <c:f>'baby food'!$H$30:$H$37</c:f>
              <c:numCache>
                <c:formatCode>#,##0.0</c:formatCode>
                <c:ptCount val="8"/>
                <c:pt idx="0">
                  <c:v>4.8</c:v>
                </c:pt>
                <c:pt idx="1">
                  <c:v>-5.5</c:v>
                </c:pt>
                <c:pt idx="2">
                  <c:v>4.4000000000000004</c:v>
                </c:pt>
                <c:pt idx="3">
                  <c:v>2.4</c:v>
                </c:pt>
                <c:pt idx="4">
                  <c:v>-1.9</c:v>
                </c:pt>
                <c:pt idx="5">
                  <c:v>-12.8</c:v>
                </c:pt>
                <c:pt idx="6">
                  <c:v>14.100000000000001</c:v>
                </c:pt>
                <c:pt idx="7" formatCode="0.00%">
                  <c:v>7.8571428571428577E-3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6-4B89-A955-D1C82D3370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6576040"/>
        <c:axId val="1026577120"/>
      </c:barChart>
      <c:catAx>
        <c:axId val="1026576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6577120"/>
        <c:crosses val="autoZero"/>
        <c:auto val="1"/>
        <c:lblAlgn val="ctr"/>
        <c:lblOffset val="100"/>
        <c:noMultiLvlLbl val="0"/>
      </c:catAx>
      <c:valAx>
        <c:axId val="1026577120"/>
        <c:scaling>
          <c:orientation val="minMax"/>
          <c:max val="15"/>
        </c:scaling>
        <c:delete val="0"/>
        <c:axPos val="b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6576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'baby food'!$H$104</c:f>
              <c:strCache>
                <c:ptCount val="1"/>
                <c:pt idx="0">
                  <c:v>Dielac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food'!$I$103:$M$103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'baby food'!$I$104:$M$104</c:f>
              <c:numCache>
                <c:formatCode>_(* #,##0.00_);_(* \(#,##0.00\);_(* "-"??_);_(@_)</c:formatCode>
                <c:ptCount val="5"/>
                <c:pt idx="0">
                  <c:v>5732.3377</c:v>
                </c:pt>
                <c:pt idx="1">
                  <c:v>5588.3229999999994</c:v>
                </c:pt>
                <c:pt idx="2">
                  <c:v>5094.0273999999999</c:v>
                </c:pt>
                <c:pt idx="3">
                  <c:v>4384.692</c:v>
                </c:pt>
                <c:pt idx="4">
                  <c:v>3700.6452000000004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1-4E60-B0CB-C2082BAD9276}"/>
            </c:ext>
          </c:extLst>
        </c:ser>
        <c:ser>
          <c:idx val="1"/>
          <c:order val="1"/>
          <c:tx>
            <c:strRef>
              <c:f>'baby food'!$H$105</c:f>
              <c:strCache>
                <c:ptCount val="1"/>
                <c:pt idx="0">
                  <c:v>Ridielac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food'!$I$103:$M$103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'baby food'!$I$105:$M$105</c:f>
              <c:numCache>
                <c:formatCode>_(* #,##0.00_);_(* \(#,##0.00\);_(* "-"??_);_(@_)</c:formatCode>
                <c:ptCount val="5"/>
                <c:pt idx="0">
                  <c:v>2153.7685000000001</c:v>
                </c:pt>
                <c:pt idx="1">
                  <c:v>2215.489</c:v>
                </c:pt>
                <c:pt idx="2">
                  <c:v>2282.3888999999999</c:v>
                </c:pt>
                <c:pt idx="3">
                  <c:v>2338.5024000000003</c:v>
                </c:pt>
                <c:pt idx="4">
                  <c:v>2532.0203999999999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01-4E60-B0CB-C2082BAD9276}"/>
            </c:ext>
          </c:extLst>
        </c:ser>
        <c:ser>
          <c:idx val="2"/>
          <c:order val="2"/>
          <c:tx>
            <c:strRef>
              <c:f>'baby food'!$H$106</c:f>
              <c:strCache>
                <c:ptCount val="1"/>
                <c:pt idx="0">
                  <c:v>Optimum Gold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food'!$I$103:$M$103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'baby food'!$I$106:$M$106</c:f>
              <c:numCache>
                <c:formatCode>_(* #,##0.00_);_(* \(#,##0.00\);_(* "-"??_);_(@_)</c:formatCode>
                <c:ptCount val="5"/>
                <c:pt idx="0">
                  <c:v>265.07920000000001</c:v>
                </c:pt>
                <c:pt idx="1">
                  <c:v>297.60300000000001</c:v>
                </c:pt>
                <c:pt idx="2">
                  <c:v>297.7029</c:v>
                </c:pt>
                <c:pt idx="3">
                  <c:v>259.83359999999999</c:v>
                </c:pt>
                <c:pt idx="4">
                  <c:v>227.23259999999999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01-4E60-B0CB-C2082BAD9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1522688"/>
        <c:axId val="771523048"/>
      </c:barChart>
      <c:catAx>
        <c:axId val="77152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23048"/>
        <c:crosses val="autoZero"/>
        <c:auto val="1"/>
        <c:lblAlgn val="ctr"/>
        <c:lblOffset val="100"/>
        <c:noMultiLvlLbl val="0"/>
      </c:catAx>
      <c:valAx>
        <c:axId val="77152304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52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'baby food'!$I$103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'baby food'!$G$104:$H$106</c:f>
              <c:multiLvlStrCache>
                <c:ptCount val="3"/>
                <c:lvl>
                  <c:pt idx="0">
                    <c:v>Dielac</c:v>
                  </c:pt>
                  <c:pt idx="1">
                    <c:v>Ridielac</c:v>
                  </c:pt>
                  <c:pt idx="2">
                    <c:v>Optimum Gold</c:v>
                  </c:pt>
                </c:lvl>
                <c:lvl>
                  <c:pt idx="0">
                    <c:v>Vietnam Dairy Products JSC (Vinamilk)</c:v>
                  </c:pt>
                </c:lvl>
              </c:multiLvlStrCache>
            </c:multiLvlStrRef>
          </c:cat>
          <c:val>
            <c:numRef>
              <c:f>'baby food'!$I$104:$I$106</c:f>
              <c:numCache>
                <c:formatCode>_(* #,##0.00_);_(* \(#,##0.00\);_(* "-"??_);_(@_)</c:formatCode>
                <c:ptCount val="3"/>
                <c:pt idx="0">
                  <c:v>5732.3377</c:v>
                </c:pt>
                <c:pt idx="1">
                  <c:v>2153.7685000000001</c:v>
                </c:pt>
                <c:pt idx="2">
                  <c:v>265.07920000000001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A-481E-BC9E-3F960E0BC3E5}"/>
            </c:ext>
          </c:extLst>
        </c:ser>
        <c:ser>
          <c:idx val="1"/>
          <c:order val="1"/>
          <c:tx>
            <c:strRef>
              <c:f>'baby food'!$J$103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'baby food'!$G$104:$H$106</c:f>
              <c:multiLvlStrCache>
                <c:ptCount val="3"/>
                <c:lvl>
                  <c:pt idx="0">
                    <c:v>Dielac</c:v>
                  </c:pt>
                  <c:pt idx="1">
                    <c:v>Ridielac</c:v>
                  </c:pt>
                  <c:pt idx="2">
                    <c:v>Optimum Gold</c:v>
                  </c:pt>
                </c:lvl>
                <c:lvl>
                  <c:pt idx="0">
                    <c:v>Vietnam Dairy Products JSC (Vinamilk)</c:v>
                  </c:pt>
                </c:lvl>
              </c:multiLvlStrCache>
            </c:multiLvlStrRef>
          </c:cat>
          <c:val>
            <c:numRef>
              <c:f>'baby food'!$J$104:$J$106</c:f>
              <c:numCache>
                <c:formatCode>_(* #,##0.00_);_(* \(#,##0.00\);_(* "-"??_);_(@_)</c:formatCode>
                <c:ptCount val="3"/>
                <c:pt idx="0">
                  <c:v>5588.3229999999994</c:v>
                </c:pt>
                <c:pt idx="1">
                  <c:v>2215.489</c:v>
                </c:pt>
                <c:pt idx="2">
                  <c:v>297.60300000000001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CA-481E-BC9E-3F960E0BC3E5}"/>
            </c:ext>
          </c:extLst>
        </c:ser>
        <c:ser>
          <c:idx val="2"/>
          <c:order val="2"/>
          <c:tx>
            <c:strRef>
              <c:f>'baby food'!$K$103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'baby food'!$G$104:$H$106</c:f>
              <c:multiLvlStrCache>
                <c:ptCount val="3"/>
                <c:lvl>
                  <c:pt idx="0">
                    <c:v>Dielac</c:v>
                  </c:pt>
                  <c:pt idx="1">
                    <c:v>Ridielac</c:v>
                  </c:pt>
                  <c:pt idx="2">
                    <c:v>Optimum Gold</c:v>
                  </c:pt>
                </c:lvl>
                <c:lvl>
                  <c:pt idx="0">
                    <c:v>Vietnam Dairy Products JSC (Vinamilk)</c:v>
                  </c:pt>
                </c:lvl>
              </c:multiLvlStrCache>
            </c:multiLvlStrRef>
          </c:cat>
          <c:val>
            <c:numRef>
              <c:f>'baby food'!$K$104:$K$106</c:f>
              <c:numCache>
                <c:formatCode>_(* #,##0.00_);_(* \(#,##0.00\);_(* "-"??_);_(@_)</c:formatCode>
                <c:ptCount val="3"/>
                <c:pt idx="0">
                  <c:v>5094.0273999999999</c:v>
                </c:pt>
                <c:pt idx="1">
                  <c:v>2282.3888999999999</c:v>
                </c:pt>
                <c:pt idx="2">
                  <c:v>297.7029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CA-481E-BC9E-3F960E0BC3E5}"/>
            </c:ext>
          </c:extLst>
        </c:ser>
        <c:ser>
          <c:idx val="3"/>
          <c:order val="3"/>
          <c:tx>
            <c:strRef>
              <c:f>'baby food'!$L$103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'baby food'!$G$104:$H$106</c:f>
              <c:multiLvlStrCache>
                <c:ptCount val="3"/>
                <c:lvl>
                  <c:pt idx="0">
                    <c:v>Dielac</c:v>
                  </c:pt>
                  <c:pt idx="1">
                    <c:v>Ridielac</c:v>
                  </c:pt>
                  <c:pt idx="2">
                    <c:v>Optimum Gold</c:v>
                  </c:pt>
                </c:lvl>
                <c:lvl>
                  <c:pt idx="0">
                    <c:v>Vietnam Dairy Products JSC (Vinamilk)</c:v>
                  </c:pt>
                </c:lvl>
              </c:multiLvlStrCache>
            </c:multiLvlStrRef>
          </c:cat>
          <c:val>
            <c:numRef>
              <c:f>'baby food'!$L$104:$L$106</c:f>
              <c:numCache>
                <c:formatCode>_(* #,##0.00_);_(* \(#,##0.00\);_(* "-"??_);_(@_)</c:formatCode>
                <c:ptCount val="3"/>
                <c:pt idx="0">
                  <c:v>4384.692</c:v>
                </c:pt>
                <c:pt idx="1">
                  <c:v>2338.5024000000003</c:v>
                </c:pt>
                <c:pt idx="2">
                  <c:v>259.83359999999999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CA-481E-BC9E-3F960E0BC3E5}"/>
            </c:ext>
          </c:extLst>
        </c:ser>
        <c:ser>
          <c:idx val="4"/>
          <c:order val="4"/>
          <c:tx>
            <c:strRef>
              <c:f>'baby food'!$M$103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'baby food'!$G$104:$H$106</c:f>
              <c:multiLvlStrCache>
                <c:ptCount val="3"/>
                <c:lvl>
                  <c:pt idx="0">
                    <c:v>Dielac</c:v>
                  </c:pt>
                  <c:pt idx="1">
                    <c:v>Ridielac</c:v>
                  </c:pt>
                  <c:pt idx="2">
                    <c:v>Optimum Gold</c:v>
                  </c:pt>
                </c:lvl>
                <c:lvl>
                  <c:pt idx="0">
                    <c:v>Vietnam Dairy Products JSC (Vinamilk)</c:v>
                  </c:pt>
                </c:lvl>
              </c:multiLvlStrCache>
            </c:multiLvlStrRef>
          </c:cat>
          <c:val>
            <c:numRef>
              <c:f>'baby food'!$M$104:$M$106</c:f>
              <c:numCache>
                <c:formatCode>_(* #,##0.00_);_(* \(#,##0.00\);_(* "-"??_);_(@_)</c:formatCode>
                <c:ptCount val="3"/>
                <c:pt idx="0">
                  <c:v>3700.6452000000004</c:v>
                </c:pt>
                <c:pt idx="1">
                  <c:v>2532.0203999999999</c:v>
                </c:pt>
                <c:pt idx="2">
                  <c:v>227.23259999999999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CA-481E-BC9E-3F960E0BC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9426520"/>
        <c:axId val="719427240"/>
      </c:barChart>
      <c:catAx>
        <c:axId val="71942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9427240"/>
        <c:crosses val="autoZero"/>
        <c:auto val="1"/>
        <c:lblAlgn val="ctr"/>
        <c:lblOffset val="100"/>
        <c:noMultiLvlLbl val="0"/>
      </c:catAx>
      <c:valAx>
        <c:axId val="719427240"/>
        <c:scaling>
          <c:orientation val="minMax"/>
        </c:scaling>
        <c:delete val="0"/>
        <c:axPos val="l"/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9426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'baby food'!$J$103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food'!$H$104:$H$106</c:f>
              <c:strCache>
                <c:ptCount val="3"/>
                <c:pt idx="0">
                  <c:v>Dielac</c:v>
                </c:pt>
                <c:pt idx="1">
                  <c:v>Ridielac</c:v>
                </c:pt>
                <c:pt idx="2">
                  <c:v>Optimum Gold</c:v>
                </c:pt>
              </c:strCache>
            </c:strRef>
          </c:cat>
          <c:val>
            <c:numRef>
              <c:f>'baby food'!$J$104:$J$106</c:f>
              <c:numCache>
                <c:formatCode>_(* #,##0.00_);_(* \(#,##0.00\);_(* "-"??_);_(@_)</c:formatCode>
                <c:ptCount val="3"/>
                <c:pt idx="0">
                  <c:v>5588.3229999999994</c:v>
                </c:pt>
                <c:pt idx="1">
                  <c:v>2215.489</c:v>
                </c:pt>
                <c:pt idx="2">
                  <c:v>297.60300000000001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0-452F-97C2-7869D0EA825F}"/>
            </c:ext>
          </c:extLst>
        </c:ser>
        <c:ser>
          <c:idx val="1"/>
          <c:order val="1"/>
          <c:tx>
            <c:strRef>
              <c:f>'baby food'!$K$103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food'!$H$104:$H$106</c:f>
              <c:strCache>
                <c:ptCount val="3"/>
                <c:pt idx="0">
                  <c:v>Dielac</c:v>
                </c:pt>
                <c:pt idx="1">
                  <c:v>Ridielac</c:v>
                </c:pt>
                <c:pt idx="2">
                  <c:v>Optimum Gold</c:v>
                </c:pt>
              </c:strCache>
            </c:strRef>
          </c:cat>
          <c:val>
            <c:numRef>
              <c:f>'baby food'!$K$104:$K$106</c:f>
              <c:numCache>
                <c:formatCode>_(* #,##0.00_);_(* \(#,##0.00\);_(* "-"??_);_(@_)</c:formatCode>
                <c:ptCount val="3"/>
                <c:pt idx="0">
                  <c:v>5094.0273999999999</c:v>
                </c:pt>
                <c:pt idx="1">
                  <c:v>2282.3888999999999</c:v>
                </c:pt>
                <c:pt idx="2">
                  <c:v>297.7029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F0-452F-97C2-7869D0EA825F}"/>
            </c:ext>
          </c:extLst>
        </c:ser>
        <c:ser>
          <c:idx val="2"/>
          <c:order val="2"/>
          <c:tx>
            <c:strRef>
              <c:f>'baby food'!$L$103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food'!$H$104:$H$106</c:f>
              <c:strCache>
                <c:ptCount val="3"/>
                <c:pt idx="0">
                  <c:v>Dielac</c:v>
                </c:pt>
                <c:pt idx="1">
                  <c:v>Ridielac</c:v>
                </c:pt>
                <c:pt idx="2">
                  <c:v>Optimum Gold</c:v>
                </c:pt>
              </c:strCache>
            </c:strRef>
          </c:cat>
          <c:val>
            <c:numRef>
              <c:f>'baby food'!$L$104:$L$106</c:f>
              <c:numCache>
                <c:formatCode>_(* #,##0.00_);_(* \(#,##0.00\);_(* "-"??_);_(@_)</c:formatCode>
                <c:ptCount val="3"/>
                <c:pt idx="0">
                  <c:v>4384.692</c:v>
                </c:pt>
                <c:pt idx="1">
                  <c:v>2338.5024000000003</c:v>
                </c:pt>
                <c:pt idx="2">
                  <c:v>259.83359999999999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F0-452F-97C2-7869D0EA825F}"/>
            </c:ext>
          </c:extLst>
        </c:ser>
        <c:ser>
          <c:idx val="3"/>
          <c:order val="3"/>
          <c:tx>
            <c:strRef>
              <c:f>'baby food'!$M$103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food'!$H$104:$H$106</c:f>
              <c:strCache>
                <c:ptCount val="3"/>
                <c:pt idx="0">
                  <c:v>Dielac</c:v>
                </c:pt>
                <c:pt idx="1">
                  <c:v>Ridielac</c:v>
                </c:pt>
                <c:pt idx="2">
                  <c:v>Optimum Gold</c:v>
                </c:pt>
              </c:strCache>
            </c:strRef>
          </c:cat>
          <c:val>
            <c:numRef>
              <c:f>'baby food'!$M$104:$M$106</c:f>
              <c:numCache>
                <c:formatCode>_(* #,##0.00_);_(* \(#,##0.00\);_(* "-"??_);_(@_)</c:formatCode>
                <c:ptCount val="3"/>
                <c:pt idx="0">
                  <c:v>3700.6452000000004</c:v>
                </c:pt>
                <c:pt idx="1">
                  <c:v>2532.0203999999999</c:v>
                </c:pt>
                <c:pt idx="2">
                  <c:v>227.23259999999999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0-4939-98DC-2C04F6566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833023"/>
        <c:axId val="385850368"/>
      </c:barChart>
      <c:catAx>
        <c:axId val="783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5850368"/>
        <c:crosses val="autoZero"/>
        <c:auto val="1"/>
        <c:lblAlgn val="ctr"/>
        <c:lblOffset val="100"/>
        <c:noMultiLvlLbl val="0"/>
      </c:catAx>
      <c:valAx>
        <c:axId val="385850368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83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'baby food'!$D$29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food'!$A$30:$A$36</c:f>
              <c:strCache>
                <c:ptCount val="7"/>
                <c:pt idx="0">
                  <c:v>Abbott Vietnam Co Ltd</c:v>
                </c:pt>
                <c:pt idx="1">
                  <c:v>Vietnam Dairy Products JSC (Vinamilk)</c:v>
                </c:pt>
                <c:pt idx="2">
                  <c:v>Nestlé Vietnam Co Ltd</c:v>
                </c:pt>
                <c:pt idx="3">
                  <c:v>Mead Johnson Nutrition (Vietnam) Co Ltd</c:v>
                </c:pt>
                <c:pt idx="4">
                  <c:v>FrieslandCampina Vietnam Co Ltd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'baby food'!$D$30:$D$36</c:f>
              <c:numCache>
                <c:formatCode>General</c:formatCode>
                <c:ptCount val="7"/>
                <c:pt idx="0">
                  <c:v>7674.1191999999992</c:v>
                </c:pt>
                <c:pt idx="1">
                  <c:v>6582.5418999999993</c:v>
                </c:pt>
                <c:pt idx="2">
                  <c:v>4002.4500999999996</c:v>
                </c:pt>
                <c:pt idx="3">
                  <c:v>3638.5909999999999</c:v>
                </c:pt>
                <c:pt idx="4">
                  <c:v>3870.1376999999998</c:v>
                </c:pt>
                <c:pt idx="5">
                  <c:v>3969.3719999999994</c:v>
                </c:pt>
                <c:pt idx="6">
                  <c:v>3407.0443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B-4107-A85E-D5228DFD2707}"/>
            </c:ext>
          </c:extLst>
        </c:ser>
        <c:ser>
          <c:idx val="1"/>
          <c:order val="1"/>
          <c:tx>
            <c:strRef>
              <c:f>'baby food'!$E$29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food'!$A$30:$A$36</c:f>
              <c:strCache>
                <c:ptCount val="7"/>
                <c:pt idx="0">
                  <c:v>Abbott Vietnam Co Ltd</c:v>
                </c:pt>
                <c:pt idx="1">
                  <c:v>Vietnam Dairy Products JSC (Vinamilk)</c:v>
                </c:pt>
                <c:pt idx="2">
                  <c:v>Nestlé Vietnam Co Ltd</c:v>
                </c:pt>
                <c:pt idx="3">
                  <c:v>Mead Johnson Nutrition (Vietnam) Co Ltd</c:v>
                </c:pt>
                <c:pt idx="4">
                  <c:v>FrieslandCampina Vietnam Co Ltd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'baby food'!$E$30:$E$36</c:f>
              <c:numCache>
                <c:formatCode>General</c:formatCode>
                <c:ptCount val="7"/>
                <c:pt idx="0">
                  <c:v>6983.0280000000002</c:v>
                </c:pt>
                <c:pt idx="1">
                  <c:v>6853.1112000000012</c:v>
                </c:pt>
                <c:pt idx="2">
                  <c:v>4092.3791999999999</c:v>
                </c:pt>
                <c:pt idx="3">
                  <c:v>3702.6288</c:v>
                </c:pt>
                <c:pt idx="4">
                  <c:v>3735.1079999999997</c:v>
                </c:pt>
                <c:pt idx="5">
                  <c:v>3507.7536000000005</c:v>
                </c:pt>
                <c:pt idx="6">
                  <c:v>3605.1911999999998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8B-4107-A85E-D5228DFD2707}"/>
            </c:ext>
          </c:extLst>
        </c:ser>
        <c:ser>
          <c:idx val="2"/>
          <c:order val="2"/>
          <c:tx>
            <c:strRef>
              <c:f>'baby food'!$F$29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'baby food'!$A$30:$A$36</c:f>
              <c:strCache>
                <c:ptCount val="7"/>
                <c:pt idx="0">
                  <c:v>Abbott Vietnam Co Ltd</c:v>
                </c:pt>
                <c:pt idx="1">
                  <c:v>Vietnam Dairy Products JSC (Vinamilk)</c:v>
                </c:pt>
                <c:pt idx="2">
                  <c:v>Nestlé Vietnam Co Ltd</c:v>
                </c:pt>
                <c:pt idx="3">
                  <c:v>Mead Johnson Nutrition (Vietnam) Co Ltd</c:v>
                </c:pt>
                <c:pt idx="4">
                  <c:v>FrieslandCampina Vietnam Co Ltd</c:v>
                </c:pt>
                <c:pt idx="5">
                  <c:v>Nutifood Nutrition Food JSC</c:v>
                </c:pt>
                <c:pt idx="6">
                  <c:v>Others</c:v>
                </c:pt>
              </c:strCache>
            </c:strRef>
          </c:cat>
          <c:val>
            <c:numRef>
              <c:f>'baby food'!$F$30:$F$36</c:f>
              <c:numCache>
                <c:formatCode>General</c:formatCode>
                <c:ptCount val="7"/>
                <c:pt idx="0">
                  <c:v>6459.8981999999996</c:v>
                </c:pt>
                <c:pt idx="1">
                  <c:v>7271.4431999999997</c:v>
                </c:pt>
                <c:pt idx="2">
                  <c:v>4447.2665999999999</c:v>
                </c:pt>
                <c:pt idx="3">
                  <c:v>3862.9541999999997</c:v>
                </c:pt>
                <c:pt idx="4">
                  <c:v>3668.1834000000003</c:v>
                </c:pt>
                <c:pt idx="5">
                  <c:v>2791.7147999999997</c:v>
                </c:pt>
                <c:pt idx="6">
                  <c:v>3927.8777999999998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8B-4107-A85E-D5228DFD2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57229151"/>
        <c:axId val="1704908895"/>
      </c:barChart>
      <c:catAx>
        <c:axId val="105722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04908895"/>
        <c:crosses val="autoZero"/>
        <c:auto val="1"/>
        <c:lblAlgn val="ctr"/>
        <c:lblOffset val="100"/>
        <c:noMultiLvlLbl val="0"/>
      </c:catAx>
      <c:valAx>
        <c:axId val="1704908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722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'plant-based dairy'!$M$6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9-42F9-BD20-799DFE9B26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39-42F9-BD20-799DFE9B26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CD-4D91-8922-82819377A5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DCD-4D91-8922-82819377A5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CD-4D91-8922-82819377A58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DCD-4D91-8922-82819377A580}"/>
              </c:ext>
            </c:extLst>
          </c:dPt>
          <c:dLbls>
            <c:dLbl>
              <c:idx val="2"/>
              <c:layout>
                <c:manualLayout>
                  <c:x val="0.1415012245957212"/>
                  <c:y val="1.006348683292651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54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473484664168815"/>
                      <c:h val="0.12909299399280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DCD-4D91-8922-82819377A580}"/>
                </c:ext>
              </c:extLst>
            </c:dLbl>
            <c:dLbl>
              <c:idx val="3"/>
              <c:layout>
                <c:manualLayout>
                  <c:x val="0.16075079477073298"/>
                  <c:y val="8.18535683772323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198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053529430846834"/>
                      <c:h val="0.1290929939928009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EDCD-4D91-8922-82819377A580}"/>
                </c:ext>
              </c:extLst>
            </c:dLbl>
            <c:dLbl>
              <c:idx val="4"/>
              <c:layout>
                <c:manualLayout>
                  <c:x val="0.11362190404359886"/>
                  <c:y val="0.15171233741298459"/>
                </c:manualLayout>
              </c:layout>
              <c:tx>
                <c:rich>
                  <a:bodyPr rot="2700000" spcFirstLastPara="1" vertOverflow="ellipsis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6AF71A1C-220A-4086-B484-3C07C73A1D9E}" type="CATEGORYNAME">
                      <a:rPr lang="en-US" sz="700"/>
                      <a:pPr>
                        <a:defRPr sz="7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[CATEGORY NAME]</a:t>
                    </a:fld>
                    <a:r>
                      <a:rPr lang="en-US" sz="700" baseline="0"/>
                      <a:t> </a:t>
                    </a:r>
                    <a:fld id="{58016764-F1F4-484E-A882-54917374F22F}" type="PERCENTAGE">
                      <a:rPr lang="en-US" sz="700" baseline="0"/>
                      <a:pPr>
                        <a:defRPr sz="7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[PERCENTAGE]</a:t>
                    </a:fld>
                    <a:endParaRPr lang="en-US" sz="700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2700000" spcFirstLastPara="1" vertOverflow="ellipsis" wrap="square" lIns="38100" tIns="19050" rIns="38100" bIns="19050" anchor="ctr" anchorCtr="1">
                  <a:sp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466120870030653"/>
                      <c:h val="0.213596386910923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DCD-4D91-8922-82819377A580}"/>
                </c:ext>
              </c:extLst>
            </c:dLbl>
            <c:dLbl>
              <c:idx val="5"/>
              <c:layout>
                <c:manualLayout>
                  <c:x val="5.2006390605485495E-2"/>
                  <c:y val="0.1721415976943835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DCD-4D91-8922-82819377A5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'plant-based dairy'!$L$7:$L$12</c:f>
              <c:strCache>
                <c:ptCount val="6"/>
                <c:pt idx="0">
                  <c:v>Vietnam Soy Milk Co Ltd (Vinasoy)</c:v>
                </c:pt>
                <c:pt idx="1">
                  <c:v>Vietnam Dairy Products JSC (Vinamilk)</c:v>
                </c:pt>
                <c:pt idx="2">
                  <c:v>Tribeco Binh Duong Co Ltd</c:v>
                </c:pt>
                <c:pt idx="3">
                  <c:v>Nutifood Nutrition Food JSC</c:v>
                </c:pt>
                <c:pt idx="4">
                  <c:v>Tan Hiep Phat Group</c:v>
                </c:pt>
                <c:pt idx="5">
                  <c:v>Others</c:v>
                </c:pt>
              </c:strCache>
            </c:strRef>
          </c:cat>
          <c:val>
            <c:numRef>
              <c:f>'plant-based dairy'!$M$7:$M$12</c:f>
              <c:numCache>
                <c:formatCode>#,##0.0</c:formatCode>
                <c:ptCount val="6"/>
                <c:pt idx="0">
                  <c:v>57.4</c:v>
                </c:pt>
                <c:pt idx="1">
                  <c:v>15.5</c:v>
                </c:pt>
                <c:pt idx="2">
                  <c:v>5.7</c:v>
                </c:pt>
                <c:pt idx="3">
                  <c:v>5.6</c:v>
                </c:pt>
                <c:pt idx="4">
                  <c:v>4.0999999999999996</c:v>
                </c:pt>
                <c:pt idx="5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D-4D91-8922-82819377A580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'plant-based dairy'!$L$31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'plant-based dairy'!$K$32:$K$34</c:f>
              <c:strCache>
                <c:ptCount val="3"/>
                <c:pt idx="0">
                  <c:v>Corn</c:v>
                </c:pt>
                <c:pt idx="1">
                  <c:v>Soybean</c:v>
                </c:pt>
                <c:pt idx="2">
                  <c:v>Weat</c:v>
                </c:pt>
              </c:strCache>
            </c:strRef>
          </c:cat>
          <c:val>
            <c:numRef>
              <c:f>'plant-based dairy'!$L$32:$L$34</c:f>
              <c:numCache>
                <c:formatCode>General</c:formatCode>
                <c:ptCount val="3"/>
                <c:pt idx="0">
                  <c:v>100</c:v>
                </c:pt>
                <c:pt idx="1">
                  <c:v>80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F-4C98-B150-43EF520F06ED}"/>
            </c:ext>
          </c:extLst>
        </c:ser>
        <c:ser>
          <c:idx val="1"/>
          <c:order val="1"/>
          <c:tx>
            <c:strRef>
              <c:f>'plant-based dairy'!$M$31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'plant-based dairy'!$K$32:$K$34</c:f>
              <c:strCache>
                <c:ptCount val="3"/>
                <c:pt idx="0">
                  <c:v>Corn</c:v>
                </c:pt>
                <c:pt idx="1">
                  <c:v>Soybean</c:v>
                </c:pt>
                <c:pt idx="2">
                  <c:v>Weat</c:v>
                </c:pt>
              </c:strCache>
            </c:strRef>
          </c:cat>
          <c:val>
            <c:numRef>
              <c:f>'plant-based dairy'!$M$32:$M$34</c:f>
              <c:numCache>
                <c:formatCode>General</c:formatCode>
                <c:ptCount val="3"/>
                <c:pt idx="0">
                  <c:v>120</c:v>
                </c:pt>
                <c:pt idx="1">
                  <c:v>80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F-4C98-B150-43EF520F06ED}"/>
            </c:ext>
          </c:extLst>
        </c:ser>
        <c:ser>
          <c:idx val="2"/>
          <c:order val="2"/>
          <c:tx>
            <c:strRef>
              <c:f>'plant-based dairy'!$N$31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'plant-based dairy'!$K$32:$K$34</c:f>
              <c:strCache>
                <c:ptCount val="3"/>
                <c:pt idx="0">
                  <c:v>Corn</c:v>
                </c:pt>
                <c:pt idx="1">
                  <c:v>Soybean</c:v>
                </c:pt>
                <c:pt idx="2">
                  <c:v>Weat</c:v>
                </c:pt>
              </c:strCache>
            </c:strRef>
          </c:cat>
          <c:val>
            <c:numRef>
              <c:f>'plant-based dairy'!$N$32:$N$34</c:f>
              <c:numCache>
                <c:formatCode>General</c:formatCode>
                <c:ptCount val="3"/>
                <c:pt idx="0">
                  <c:v>100</c:v>
                </c:pt>
                <c:pt idx="1">
                  <c:v>80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F-4C98-B150-43EF520F06ED}"/>
            </c:ext>
          </c:extLst>
        </c:ser>
        <c:ser>
          <c:idx val="3"/>
          <c:order val="3"/>
          <c:tx>
            <c:strRef>
              <c:f>'plant-based dairy'!$O$31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'plant-based dairy'!$K$32:$K$34</c:f>
              <c:strCache>
                <c:ptCount val="3"/>
                <c:pt idx="0">
                  <c:v>Corn</c:v>
                </c:pt>
                <c:pt idx="1">
                  <c:v>Soybean</c:v>
                </c:pt>
                <c:pt idx="2">
                  <c:v>Weat</c:v>
                </c:pt>
              </c:strCache>
            </c:strRef>
          </c:cat>
          <c:val>
            <c:numRef>
              <c:f>'plant-based dairy'!$O$32:$O$34</c:f>
              <c:numCache>
                <c:formatCode>General</c:formatCode>
                <c:ptCount val="3"/>
                <c:pt idx="0">
                  <c:v>175</c:v>
                </c:pt>
                <c:pt idx="1">
                  <c:v>155</c:v>
                </c:pt>
                <c:pt idx="2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FF-4C98-B150-43EF520F06ED}"/>
            </c:ext>
          </c:extLst>
        </c:ser>
        <c:ser>
          <c:idx val="4"/>
          <c:order val="4"/>
          <c:tx>
            <c:strRef>
              <c:f>'plant-based dairy'!$P$31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'plant-based dairy'!$K$32:$K$34</c:f>
              <c:strCache>
                <c:ptCount val="3"/>
                <c:pt idx="0">
                  <c:v>Corn</c:v>
                </c:pt>
                <c:pt idx="1">
                  <c:v>Soybean</c:v>
                </c:pt>
                <c:pt idx="2">
                  <c:v>Weat</c:v>
                </c:pt>
              </c:strCache>
            </c:strRef>
          </c:cat>
          <c:val>
            <c:numRef>
              <c:f>'plant-based dairy'!$P$32:$P$34</c:f>
              <c:numCache>
                <c:formatCode>General</c:formatCode>
                <c:ptCount val="3"/>
                <c:pt idx="0">
                  <c:v>176</c:v>
                </c:pt>
                <c:pt idx="1">
                  <c:v>150</c:v>
                </c:pt>
                <c:pt idx="2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FF-4C98-B150-43EF520F0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870175"/>
        <c:axId val="1941047759"/>
      </c:barChart>
      <c:catAx>
        <c:axId val="44187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47759"/>
        <c:crosses val="autoZero"/>
        <c:auto val="1"/>
        <c:lblAlgn val="ctr"/>
        <c:lblOffset val="100"/>
        <c:noMultiLvlLbl val="0"/>
      </c:catAx>
      <c:valAx>
        <c:axId val="1941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87017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growth'!$A$2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growth'!$B$1:$F$1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growth'!$B$2:$F$2</c:f>
              <c:numCache>
                <c:formatCode>_(* #,##0_);_(* \(#,##0\);_(* "-"??_);_(@_)</c:formatCode>
                <c:ptCount val="5"/>
                <c:pt idx="0">
                  <c:v>52561.949970590002</c:v>
                </c:pt>
                <c:pt idx="1">
                  <c:v>56318.122762999999</c:v>
                </c:pt>
                <c:pt idx="2">
                  <c:v>59636.28622555</c:v>
                </c:pt>
                <c:pt idx="3">
                  <c:v>60919.164846150001</c:v>
                </c:pt>
                <c:pt idx="4">
                  <c:v>59956.247196999997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8A-43C4-9BEC-0E8381F817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6557328"/>
        <c:axId val="786555888"/>
      </c:barChart>
      <c:lineChart>
        <c:grouping val="standard"/>
        <c:varyColors val="0"/>
        <c:ser>
          <c:idx val="1"/>
          <c:order val="1"/>
          <c:tx>
            <c:strRef>
              <c:f>'revenue growth'!$A$3</c:f>
              <c:strCache>
                <c:ptCount val="1"/>
                <c:pt idx="0">
                  <c:v>Revenue growth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'revenue growth'!$B$1:$F$1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'revenue growth'!$B$3:$F$3</c:f>
              <c:numCache>
                <c:formatCode>0.00%</c:formatCode>
                <c:ptCount val="5"/>
                <c:pt idx="0">
                  <c:v>2.7907558478985493E-2</c:v>
                </c:pt>
                <c:pt idx="1">
                  <c:v>7.1461823515141382E-2</c:v>
                </c:pt>
                <c:pt idx="2">
                  <c:v>5.8918218501593615E-2</c:v>
                </c:pt>
                <c:pt idx="3">
                  <c:v>2.1511712110107481E-2</c:v>
                </c:pt>
                <c:pt idx="4">
                  <c:v>-1.5806481450982356E-2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8A-43C4-9BEC-0E8381F817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6557688"/>
        <c:axId val="786559848"/>
      </c:lineChart>
      <c:catAx>
        <c:axId val="78655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55888"/>
        <c:crosses val="autoZero"/>
        <c:auto val="1"/>
        <c:lblAlgn val="ctr"/>
        <c:lblOffset val="100"/>
        <c:noMultiLvlLbl val="0"/>
      </c:catAx>
      <c:valAx>
        <c:axId val="786555888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57328"/>
        <c:crosses val="autoZero"/>
        <c:crossBetween val="between"/>
      </c:valAx>
      <c:valAx>
        <c:axId val="7865598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557688"/>
        <c:crosses val="max"/>
        <c:crossBetween val="between"/>
      </c:valAx>
      <c:catAx>
        <c:axId val="7865576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86559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'drinking milk 2'!$D$2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'drinking milk 2'!$C$3:$C$9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Lothamilk JSC</c:v>
                </c:pt>
              </c:strCache>
            </c:strRef>
          </c:cat>
          <c:val>
            <c:numRef>
              <c:f>'drinking milk 2'!$D$3:$D$9</c:f>
              <c:numCache>
                <c:formatCode>##,#00</c:formatCode>
                <c:ptCount val="7"/>
                <c:pt idx="0">
                  <c:v>48</c:v>
                </c:pt>
                <c:pt idx="1">
                  <c:v>13.9</c:v>
                </c:pt>
                <c:pt idx="2">
                  <c:v>13.6</c:v>
                </c:pt>
                <c:pt idx="3">
                  <c:v>7.9</c:v>
                </c:pt>
                <c:pt idx="4">
                  <c:v>2.5</c:v>
                </c:pt>
                <c:pt idx="5">
                  <c:v>3.8</c:v>
                </c:pt>
                <c:pt idx="6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4-444D-8B40-19E4E012C97D}"/>
            </c:ext>
          </c:extLst>
        </c:ser>
        <c:ser>
          <c:idx val="1"/>
          <c:order val="1"/>
          <c:tx>
            <c:strRef>
              <c:f>'drinking milk 2'!$E$2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'drinking milk 2'!$C$3:$C$9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Lothamilk JSC</c:v>
                </c:pt>
              </c:strCache>
            </c:strRef>
          </c:cat>
          <c:val>
            <c:numRef>
              <c:f>'drinking milk 2'!$E$3:$E$9</c:f>
              <c:numCache>
                <c:formatCode>##,#00</c:formatCode>
                <c:ptCount val="7"/>
                <c:pt idx="0">
                  <c:v>48.3</c:v>
                </c:pt>
                <c:pt idx="1">
                  <c:v>14.3</c:v>
                </c:pt>
                <c:pt idx="2">
                  <c:v>11.4</c:v>
                </c:pt>
                <c:pt idx="3">
                  <c:v>8.1999999999999993</c:v>
                </c:pt>
                <c:pt idx="4">
                  <c:v>3.2</c:v>
                </c:pt>
                <c:pt idx="5">
                  <c:v>4.0999999999999996</c:v>
                </c:pt>
                <c:pt idx="6">
                  <c:v>10.3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4-444D-8B40-19E4E012C97D}"/>
            </c:ext>
          </c:extLst>
        </c:ser>
        <c:ser>
          <c:idx val="2"/>
          <c:order val="2"/>
          <c:tx>
            <c:strRef>
              <c:f>'drinking milk 2'!$F$2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'drinking milk 2'!$C$3:$C$9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Lothamilk JSC</c:v>
                </c:pt>
              </c:strCache>
            </c:strRef>
          </c:cat>
          <c:val>
            <c:numRef>
              <c:f>'drinking milk 2'!$F$3:$F$9</c:f>
              <c:numCache>
                <c:formatCode>##,#00</c:formatCode>
                <c:ptCount val="7"/>
                <c:pt idx="0">
                  <c:v>47.9</c:v>
                </c:pt>
                <c:pt idx="1">
                  <c:v>14.8</c:v>
                </c:pt>
                <c:pt idx="2">
                  <c:v>10.4</c:v>
                </c:pt>
                <c:pt idx="3">
                  <c:v>8.3000000000000007</c:v>
                </c:pt>
                <c:pt idx="4">
                  <c:v>3.7</c:v>
                </c:pt>
                <c:pt idx="5">
                  <c:v>4.2</c:v>
                </c:pt>
                <c:pt idx="6">
                  <c:v>10.600000000000001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4-444D-8B40-19E4E012C97D}"/>
            </c:ext>
          </c:extLst>
        </c:ser>
        <c:ser>
          <c:idx val="3"/>
          <c:order val="3"/>
          <c:tx>
            <c:strRef>
              <c:f>'drinking milk 2'!$G$2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'drinking milk 2'!$C$3:$C$9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Lothamilk JSC</c:v>
                </c:pt>
              </c:strCache>
            </c:strRef>
          </c:cat>
          <c:val>
            <c:numRef>
              <c:f>'drinking milk 2'!$G$3:$G$9</c:f>
              <c:numCache>
                <c:formatCode>##,#00</c:formatCode>
                <c:ptCount val="7"/>
                <c:pt idx="0">
                  <c:v>46.1</c:v>
                </c:pt>
                <c:pt idx="1">
                  <c:v>15.1</c:v>
                </c:pt>
                <c:pt idx="2">
                  <c:v>10.4</c:v>
                </c:pt>
                <c:pt idx="3">
                  <c:v>8.4</c:v>
                </c:pt>
                <c:pt idx="4">
                  <c:v>4.5</c:v>
                </c:pt>
                <c:pt idx="5">
                  <c:v>4.5999999999999996</c:v>
                </c:pt>
                <c:pt idx="6">
                  <c:v>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4-444D-8B40-19E4E012C97D}"/>
            </c:ext>
          </c:extLst>
        </c:ser>
        <c:ser>
          <c:idx val="4"/>
          <c:order val="4"/>
          <c:tx>
            <c:strRef>
              <c:f>'drinking milk 2'!$H$2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'drinking milk 2'!$C$3:$C$9</c:f>
              <c:strCache>
                <c:ptCount val="7"/>
                <c:pt idx="0">
                  <c:v>Vietnam Dairy Products JSC (Vinamilk)</c:v>
                </c:pt>
                <c:pt idx="1">
                  <c:v>TH Food Chain JSC</c:v>
                </c:pt>
                <c:pt idx="2">
                  <c:v>FrieslandCampina Vietnam Co Ltd</c:v>
                </c:pt>
                <c:pt idx="3">
                  <c:v>Nestlé Vietnam Co Ltd</c:v>
                </c:pt>
                <c:pt idx="4">
                  <c:v>International Dairy Products JSC (IDP)</c:v>
                </c:pt>
                <c:pt idx="5">
                  <c:v>Coca-Cola Beverages Vietnam Co Ltd</c:v>
                </c:pt>
                <c:pt idx="6">
                  <c:v>Lothamilk JSC</c:v>
                </c:pt>
              </c:strCache>
            </c:strRef>
          </c:cat>
          <c:val>
            <c:numRef>
              <c:f>'drinking milk 2'!$H$3:$H$9</c:f>
              <c:numCache>
                <c:formatCode>##,#00</c:formatCode>
                <c:ptCount val="7"/>
                <c:pt idx="0">
                  <c:v>44.8</c:v>
                </c:pt>
                <c:pt idx="1">
                  <c:v>15.1</c:v>
                </c:pt>
                <c:pt idx="2">
                  <c:v>10.199999999999999</c:v>
                </c:pt>
                <c:pt idx="3">
                  <c:v>8.4</c:v>
                </c:pt>
                <c:pt idx="4">
                  <c:v>5.4</c:v>
                </c:pt>
                <c:pt idx="5">
                  <c:v>4.9000000000000004</c:v>
                </c:pt>
                <c:pt idx="6">
                  <c:v>10.8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4-444D-8B40-19E4E012C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273464"/>
        <c:axId val="804275984"/>
      </c:barChart>
      <c:catAx>
        <c:axId val="80427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275984"/>
        <c:crosses val="autoZero"/>
        <c:auto val="1"/>
        <c:lblAlgn val="ctr"/>
        <c:lblOffset val="100"/>
        <c:noMultiLvlLbl val="0"/>
      </c:catAx>
      <c:valAx>
        <c:axId val="8042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,#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27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'yogurt and sour milk'!$U$6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9C0-42F5-B2C6-56E4CE5CA3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9C0-42F5-B2C6-56E4CE5CA3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9C0-42F5-B2C6-56E4CE5CA3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9C0-42F5-B2C6-56E4CE5CA3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9C0-42F5-B2C6-56E4CE5CA39C}"/>
              </c:ext>
            </c:extLst>
          </c:dPt>
          <c:dLbls>
            <c:dLbl>
              <c:idx val="0"/>
              <c:layout>
                <c:manualLayout>
                  <c:x val="-0.21574302784480989"/>
                  <c:y val="-0.1368496893870153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C0-42F5-B2C6-56E4CE5CA39C}"/>
                </c:ext>
              </c:extLst>
            </c:dLbl>
            <c:dLbl>
              <c:idx val="2"/>
              <c:layout>
                <c:manualLayout>
                  <c:x val="0.22588814857654893"/>
                  <c:y val="3.691727585997327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1260000" spcFirstLastPara="1" vertOverflow="ellipsis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905555555555556"/>
                      <c:h val="0.141666666666666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9C0-42F5-B2C6-56E4CE5CA39C}"/>
                </c:ext>
              </c:extLst>
            </c:dLbl>
            <c:dLbl>
              <c:idx val="3"/>
              <c:layout>
                <c:manualLayout>
                  <c:x val="0.17358226400773313"/>
                  <c:y val="0.1747107389973068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2520000" spcFirstLastPara="1" vertOverflow="overflow" horzOverflow="overflow" wrap="square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180567665436156"/>
                      <c:h val="0.22506001896061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9C0-42F5-B2C6-56E4CE5CA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'yogurt and sour milk'!$T$7:$T$11</c:f>
              <c:strCache>
                <c:ptCount val="5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Others</c:v>
                </c:pt>
              </c:strCache>
            </c:strRef>
          </c:cat>
          <c:val>
            <c:numRef>
              <c:f>'yogurt and sour milk'!$U$7:$U$11</c:f>
              <c:numCache>
                <c:formatCode>General</c:formatCode>
                <c:ptCount val="5"/>
                <c:pt idx="0">
                  <c:v>62.5</c:v>
                </c:pt>
                <c:pt idx="1">
                  <c:v>11.8</c:v>
                </c:pt>
                <c:pt idx="2">
                  <c:v>7.5</c:v>
                </c:pt>
                <c:pt idx="3">
                  <c:v>7.3</c:v>
                </c:pt>
                <c:pt idx="4">
                  <c:v>10.9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C0-42F5-B2C6-56E4CE5CA39C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'yogurt and sour milk'!$L$18</c:f>
              <c:strCache>
                <c:ptCount val="1"/>
                <c:pt idx="0">
                  <c:v>Vietnam Dairy Products JSC (Vinamilk)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'yogurt and sour milk'!$Q$17:$U$17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'yogurt and sour milk'!$Q$18:$U$18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.0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A-4578-8540-CC8B9B945F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41107240"/>
        <c:axId val="841106160"/>
      </c:barChart>
      <c:catAx>
        <c:axId val="841107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1106160"/>
        <c:crosses val="autoZero"/>
        <c:auto val="1"/>
        <c:lblAlgn val="ctr"/>
        <c:lblOffset val="100"/>
        <c:noMultiLvlLbl val="0"/>
      </c:catAx>
      <c:valAx>
        <c:axId val="8411061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4110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'yogurt and sour milk'!$D$45</c:f>
              <c:strCache>
                <c:ptCount val="1"/>
                <c:pt idx="0">
                  <c:v>2018 - 2022 CAGR 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'yogurt and sour milk'!$C$46:$C$53</c:f>
              <c:strCache>
                <c:ptCount val="8"/>
                <c:pt idx="0">
                  <c:v>Vietnam Dairy Products JSC (Vinamilk)</c:v>
                </c:pt>
                <c:pt idx="1">
                  <c:v>FrieslandCampina Vietnam Co Ltd</c:v>
                </c:pt>
                <c:pt idx="2">
                  <c:v>Yakult Vietnam Co Ltd</c:v>
                </c:pt>
                <c:pt idx="3">
                  <c:v>TH Food Chain JSC</c:v>
                </c:pt>
                <c:pt idx="4">
                  <c:v>International Dairy Products JSC (IDP)</c:v>
                </c:pt>
                <c:pt idx="5">
                  <c:v>Nutifood Nutrition Food JSC</c:v>
                </c:pt>
                <c:pt idx="6">
                  <c:v>Others</c:v>
                </c:pt>
                <c:pt idx="7">
                  <c:v>Average</c:v>
                </c:pt>
              </c:strCache>
            </c:strRef>
          </c:cat>
          <c:val>
            <c:numRef>
              <c:f>'yogurt and sour milk'!$D$46:$D$53</c:f>
              <c:numCache>
                <c:formatCode>0.00%</c:formatCode>
                <c:ptCount val="8"/>
                <c:pt idx="0">
                  <c:v>9.5000000000000001E-2</c:v>
                </c:pt>
                <c:pt idx="1">
                  <c:v>5.4000000000000006E-2</c:v>
                </c:pt>
                <c:pt idx="2">
                  <c:v>0.307</c:v>
                </c:pt>
                <c:pt idx="3">
                  <c:v>0.19600000000000001</c:v>
                </c:pt>
                <c:pt idx="4">
                  <c:v>0.111</c:v>
                </c:pt>
                <c:pt idx="5">
                  <c:v>0.188</c:v>
                </c:pt>
                <c:pt idx="6">
                  <c:v>0.115</c:v>
                </c:pt>
                <c:pt idx="7">
                  <c:v>0.1522857142857143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1-4951-8577-60B0333F34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5300576"/>
        <c:axId val="1025300936"/>
      </c:barChart>
      <c:catAx>
        <c:axId val="102530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5300936"/>
        <c:crosses val="autoZero"/>
        <c:auto val="1"/>
        <c:lblAlgn val="ctr"/>
        <c:lblOffset val="100"/>
        <c:noMultiLvlLbl val="0"/>
      </c:catAx>
      <c:valAx>
        <c:axId val="1025300936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253005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850877183395976E-2"/>
          <c:y val="5.0707215016014336E-2"/>
          <c:w val="0.86935655731882311"/>
          <c:h val="0.6810113276361218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'yogurt and sour milk'!$L$7</c:f>
              <c:strCache>
                <c:ptCount val="1"/>
                <c:pt idx="0">
                  <c:v>Vinamilk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milk'!$M$7:$Q$7</c:f>
              <c:numCache>
                <c:formatCode>#,##0.0</c:formatCode>
                <c:ptCount val="5"/>
                <c:pt idx="0">
                  <c:v>66.8</c:v>
                </c:pt>
                <c:pt idx="1">
                  <c:v>66</c:v>
                </c:pt>
                <c:pt idx="2">
                  <c:v>65.8</c:v>
                </c:pt>
                <c:pt idx="3">
                  <c:v>65.5</c:v>
                </c:pt>
                <c:pt idx="4">
                  <c:v>63.6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1-4A36-A5A0-13C451389F9E}"/>
            </c:ext>
          </c:extLst>
        </c:ser>
        <c:ser>
          <c:idx val="1"/>
          <c:order val="1"/>
          <c:tx>
            <c:strRef>
              <c:f>'yogurt and sour milk'!$L$8</c:f>
              <c:strCache>
                <c:ptCount val="1"/>
                <c:pt idx="0">
                  <c:v>Friesland Campina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milk'!$M$8:$Q$8</c:f>
              <c:numCache>
                <c:formatCode>#,##0.0</c:formatCode>
                <c:ptCount val="5"/>
                <c:pt idx="0">
                  <c:v>14.5</c:v>
                </c:pt>
                <c:pt idx="1">
                  <c:v>13.8</c:v>
                </c:pt>
                <c:pt idx="2">
                  <c:v>12.8</c:v>
                </c:pt>
                <c:pt idx="3">
                  <c:v>12.2</c:v>
                </c:pt>
                <c:pt idx="4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A1-4A36-A5A0-13C451389F9E}"/>
            </c:ext>
          </c:extLst>
        </c:ser>
        <c:ser>
          <c:idx val="2"/>
          <c:order val="2"/>
          <c:tx>
            <c:strRef>
              <c:f>'yogurt and sour milk'!$L$9</c:f>
              <c:strCache>
                <c:ptCount val="1"/>
                <c:pt idx="0">
                  <c:v>Yakult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milk'!$M$9:$Q$9</c:f>
              <c:numCache>
                <c:formatCode>#,##0.0</c:formatCode>
                <c:ptCount val="5"/>
                <c:pt idx="0">
                  <c:v>3.5</c:v>
                </c:pt>
                <c:pt idx="1">
                  <c:v>3.9</c:v>
                </c:pt>
                <c:pt idx="2">
                  <c:v>4.4000000000000004</c:v>
                </c:pt>
                <c:pt idx="3">
                  <c:v>5.6</c:v>
                </c:pt>
                <c:pt idx="4">
                  <c:v>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A1-4A36-A5A0-13C451389F9E}"/>
            </c:ext>
          </c:extLst>
        </c:ser>
        <c:ser>
          <c:idx val="3"/>
          <c:order val="3"/>
          <c:tx>
            <c:strRef>
              <c:f>'yogurt and sour milk'!$L$10</c:f>
              <c:strCache>
                <c:ptCount val="1"/>
                <c:pt idx="0">
                  <c:v>TH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milk'!$M$10:$Q$10</c:f>
              <c:numCache>
                <c:formatCode>#,##0.0</c:formatCode>
                <c:ptCount val="5"/>
                <c:pt idx="0">
                  <c:v>5</c:v>
                </c:pt>
                <c:pt idx="1">
                  <c:v>5.3</c:v>
                </c:pt>
                <c:pt idx="2">
                  <c:v>5.6</c:v>
                </c:pt>
                <c:pt idx="3">
                  <c:v>5.8</c:v>
                </c:pt>
                <c:pt idx="4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A1-4A36-A5A0-13C451389F9E}"/>
            </c:ext>
          </c:extLst>
        </c:ser>
        <c:ser>
          <c:idx val="4"/>
          <c:order val="4"/>
          <c:tx>
            <c:strRef>
              <c:f>'yogurt and sour milk'!$L$11</c:f>
              <c:strCache>
                <c:ptCount val="1"/>
                <c:pt idx="0">
                  <c:v>IDP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milk'!$M$11:$Q$11</c:f>
              <c:numCache>
                <c:formatCode>#,##0.0</c:formatCode>
                <c:ptCount val="5"/>
                <c:pt idx="0">
                  <c:v>4.2</c:v>
                </c:pt>
                <c:pt idx="1">
                  <c:v>3.9</c:v>
                </c:pt>
                <c:pt idx="2">
                  <c:v>3.9</c:v>
                </c:pt>
                <c:pt idx="3">
                  <c:v>4</c:v>
                </c:pt>
                <c:pt idx="4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A1-4A36-A5A0-13C451389F9E}"/>
            </c:ext>
          </c:extLst>
        </c:ser>
        <c:ser>
          <c:idx val="5"/>
          <c:order val="5"/>
          <c:tx>
            <c:strRef>
              <c:f>'yogurt and sour milk'!$L$12</c:f>
              <c:strCache>
                <c:ptCount val="1"/>
                <c:pt idx="0">
                  <c:v>Nutifood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milk'!$M$12:$Q$12</c:f>
              <c:numCache>
                <c:formatCode>#,##0.0</c:formatCode>
                <c:ptCount val="5"/>
                <c:pt idx="0">
                  <c:v>2</c:v>
                </c:pt>
                <c:pt idx="1">
                  <c:v>2.2000000000000002</c:v>
                </c:pt>
                <c:pt idx="2">
                  <c:v>2.5</c:v>
                </c:pt>
                <c:pt idx="3">
                  <c:v>2.5</c:v>
                </c:pt>
                <c:pt idx="4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4A1-4A36-A5A0-13C451389F9E}"/>
            </c:ext>
          </c:extLst>
        </c:ser>
        <c:ser>
          <c:idx val="6"/>
          <c:order val="6"/>
          <c:tx>
            <c:strRef>
              <c:f>'yogurt and sour milk'!$L$13</c:f>
              <c:strCache>
                <c:ptCount val="1"/>
                <c:pt idx="0">
                  <c:v>Others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'yogurt and sour milk'!$M$6:$Q$6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'yogurt and sour milk'!$M$13:$Q$13</c:f>
              <c:numCache>
                <c:formatCode>#,##0.0</c:formatCode>
                <c:ptCount val="5"/>
                <c:pt idx="0">
                  <c:v>3.9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A1-4A36-A5A0-13C451389F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972236136"/>
        <c:axId val="972235416"/>
      </c:barChart>
      <c:catAx>
        <c:axId val="972236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2235416"/>
        <c:crosses val="autoZero"/>
        <c:auto val="1"/>
        <c:lblAlgn val="ctr"/>
        <c:lblOffset val="100"/>
        <c:noMultiLvlLbl val="0"/>
      </c:catAx>
      <c:valAx>
        <c:axId val="972235416"/>
        <c:scaling>
          <c:orientation val="minMax"/>
          <c:max val="70"/>
        </c:scaling>
        <c:delete val="0"/>
        <c:axPos val="b"/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972236136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0"/>
          <c:y val="0.78794946846352421"/>
          <c:w val="1"/>
          <c:h val="0.21205053153647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Sheet3!$F$69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Sheet3!$D$70:$E$73</c:f>
              <c:multiLvlStrCache>
                <c:ptCount val="4"/>
                <c:lvl>
                  <c:pt idx="0">
                    <c:v>Ngoi Sao Phuong Nam</c:v>
                  </c:pt>
                  <c:pt idx="1">
                    <c:v>Ong Tho</c:v>
                  </c:pt>
                  <c:pt idx="2">
                    <c:v>Dutch Lady</c:v>
                  </c:pt>
                  <c:pt idx="3">
                    <c:v>Hoan Hao</c:v>
                  </c:pt>
                </c:lvl>
                <c:lvl>
                  <c:pt idx="0">
                    <c:v>Vietnam Dairy Products JSC (Vinamilk)</c:v>
                  </c:pt>
                  <c:pt idx="2">
                    <c:v>FrieslandCampina Vietnam Co Ltd</c:v>
                  </c:pt>
                </c:lvl>
              </c:multiLvlStrCache>
            </c:multiLvlStrRef>
          </c:cat>
          <c:val>
            <c:numRef>
              <c:f>Sheet3!$F$70:$F$73</c:f>
              <c:numCache>
                <c:formatCode>General</c:formatCode>
                <c:ptCount val="4"/>
                <c:pt idx="0">
                  <c:v>3329.3221999999996</c:v>
                </c:pt>
                <c:pt idx="1">
                  <c:v>2630.39</c:v>
                </c:pt>
                <c:pt idx="2">
                  <c:v>631.29359999999997</c:v>
                </c:pt>
                <c:pt idx="3">
                  <c:v>616.26279999999997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8-4899-A080-D1BF68A72F89}"/>
            </c:ext>
          </c:extLst>
        </c:ser>
        <c:ser>
          <c:idx val="1"/>
          <c:order val="1"/>
          <c:tx>
            <c:strRef>
              <c:f>Sheet3!$G$69</c:f>
              <c:strCache>
                <c:ptCount val="1"/>
                <c:pt idx="0">
                  <c:v>2019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Sheet3!$D$70:$E$73</c:f>
              <c:multiLvlStrCache>
                <c:ptCount val="4"/>
                <c:lvl>
                  <c:pt idx="0">
                    <c:v>Ngoi Sao Phuong Nam</c:v>
                  </c:pt>
                  <c:pt idx="1">
                    <c:v>Ong Tho</c:v>
                  </c:pt>
                  <c:pt idx="2">
                    <c:v>Dutch Lady</c:v>
                  </c:pt>
                  <c:pt idx="3">
                    <c:v>Hoan Hao</c:v>
                  </c:pt>
                </c:lvl>
                <c:lvl>
                  <c:pt idx="0">
                    <c:v>Vietnam Dairy Products JSC (Vinamilk)</c:v>
                  </c:pt>
                  <c:pt idx="2">
                    <c:v>FrieslandCampina Vietnam Co Ltd</c:v>
                  </c:pt>
                </c:lvl>
              </c:multiLvlStrCache>
            </c:multiLvlStrRef>
          </c:cat>
          <c:val>
            <c:numRef>
              <c:f>Sheet3!$G$70:$G$73</c:f>
              <c:numCache>
                <c:formatCode>General</c:formatCode>
                <c:ptCount val="4"/>
                <c:pt idx="0">
                  <c:v>3676.3670999999995</c:v>
                </c:pt>
                <c:pt idx="1">
                  <c:v>2865.7649999999999</c:v>
                </c:pt>
                <c:pt idx="2">
                  <c:v>663.21989999999994</c:v>
                </c:pt>
                <c:pt idx="3">
                  <c:v>638.6561999999999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8-4899-A080-D1BF68A72F89}"/>
            </c:ext>
          </c:extLst>
        </c:ser>
        <c:ser>
          <c:idx val="2"/>
          <c:order val="2"/>
          <c:tx>
            <c:strRef>
              <c:f>Sheet3!$H$69</c:f>
              <c:strCache>
                <c:ptCount val="1"/>
                <c:pt idx="0">
                  <c:v>2020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Sheet3!$D$70:$E$73</c:f>
              <c:multiLvlStrCache>
                <c:ptCount val="4"/>
                <c:lvl>
                  <c:pt idx="0">
                    <c:v>Ngoi Sao Phuong Nam</c:v>
                  </c:pt>
                  <c:pt idx="1">
                    <c:v>Ong Tho</c:v>
                  </c:pt>
                  <c:pt idx="2">
                    <c:v>Dutch Lady</c:v>
                  </c:pt>
                  <c:pt idx="3">
                    <c:v>Hoan Hao</c:v>
                  </c:pt>
                </c:lvl>
                <c:lvl>
                  <c:pt idx="0">
                    <c:v>Vietnam Dairy Products JSC (Vinamilk)</c:v>
                  </c:pt>
                  <c:pt idx="2">
                    <c:v>FrieslandCampina Vietnam Co Ltd</c:v>
                  </c:pt>
                </c:lvl>
              </c:multiLvlStrCache>
            </c:multiLvlStrRef>
          </c:cat>
          <c:val>
            <c:numRef>
              <c:f>Sheet3!$H$70:$H$73</c:f>
              <c:numCache>
                <c:formatCode>General</c:formatCode>
                <c:ptCount val="4"/>
                <c:pt idx="0">
                  <c:v>4038.0373</c:v>
                </c:pt>
                <c:pt idx="1">
                  <c:v>3109.5514999999996</c:v>
                </c:pt>
                <c:pt idx="2">
                  <c:v>613.15099999999995</c:v>
                </c:pt>
                <c:pt idx="3">
                  <c:v>604.39170000000001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C8-4899-A080-D1BF68A72F89}"/>
            </c:ext>
          </c:extLst>
        </c:ser>
        <c:ser>
          <c:idx val="3"/>
          <c:order val="3"/>
          <c:tx>
            <c:strRef>
              <c:f>Sheet3!$I$69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Sheet3!$D$70:$E$73</c:f>
              <c:multiLvlStrCache>
                <c:ptCount val="4"/>
                <c:lvl>
                  <c:pt idx="0">
                    <c:v>Ngoi Sao Phuong Nam</c:v>
                  </c:pt>
                  <c:pt idx="1">
                    <c:v>Ong Tho</c:v>
                  </c:pt>
                  <c:pt idx="2">
                    <c:v>Dutch Lady</c:v>
                  </c:pt>
                  <c:pt idx="3">
                    <c:v>Hoan Hao</c:v>
                  </c:pt>
                </c:lvl>
                <c:lvl>
                  <c:pt idx="0">
                    <c:v>Vietnam Dairy Products JSC (Vinamilk)</c:v>
                  </c:pt>
                  <c:pt idx="2">
                    <c:v>FrieslandCampina Vietnam Co Ltd</c:v>
                  </c:pt>
                </c:lvl>
              </c:multiLvlStrCache>
            </c:multiLvlStrRef>
          </c:cat>
          <c:val>
            <c:numRef>
              <c:f>Sheet3!$I$70:$I$73</c:f>
              <c:numCache>
                <c:formatCode>General</c:formatCode>
                <c:ptCount val="4"/>
                <c:pt idx="0">
                  <c:v>4204.6714000000002</c:v>
                </c:pt>
                <c:pt idx="1">
                  <c:v>3203.1295</c:v>
                </c:pt>
                <c:pt idx="2">
                  <c:v>622.58010000000002</c:v>
                </c:pt>
                <c:pt idx="3">
                  <c:v>568.44269999999995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C8-4899-A080-D1BF68A72F89}"/>
            </c:ext>
          </c:extLst>
        </c:ser>
        <c:ser>
          <c:idx val="4"/>
          <c:order val="4"/>
          <c:tx>
            <c:strRef>
              <c:f>Sheet3!$J$69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Sheet3!$D$70:$E$73</c:f>
              <c:multiLvlStrCache>
                <c:ptCount val="4"/>
                <c:lvl>
                  <c:pt idx="0">
                    <c:v>Ngoi Sao Phuong Nam</c:v>
                  </c:pt>
                  <c:pt idx="1">
                    <c:v>Ong Tho</c:v>
                  </c:pt>
                  <c:pt idx="2">
                    <c:v>Dutch Lady</c:v>
                  </c:pt>
                  <c:pt idx="3">
                    <c:v>Hoan Hao</c:v>
                  </c:pt>
                </c:lvl>
                <c:lvl>
                  <c:pt idx="0">
                    <c:v>Vietnam Dairy Products JSC (Vinamilk)</c:v>
                  </c:pt>
                  <c:pt idx="2">
                    <c:v>FrieslandCampina Vietnam Co Ltd</c:v>
                  </c:pt>
                </c:lvl>
              </c:multiLvlStrCache>
            </c:multiLvlStrRef>
          </c:cat>
          <c:val>
            <c:numRef>
              <c:f>Sheet3!$J$70:$J$73</c:f>
              <c:numCache>
                <c:formatCode>General</c:formatCode>
                <c:ptCount val="4"/>
                <c:pt idx="0">
                  <c:v>4442.4431999999997</c:v>
                </c:pt>
                <c:pt idx="1">
                  <c:v>3360.3095999999996</c:v>
                </c:pt>
                <c:pt idx="2">
                  <c:v>645.4831999999999</c:v>
                </c:pt>
                <c:pt idx="3">
                  <c:v>579.03639999999996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C8-4899-A080-D1BF68A72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11687152"/>
        <c:axId val="711688952"/>
      </c:barChart>
      <c:catAx>
        <c:axId val="71168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1688952"/>
        <c:crosses val="autoZero"/>
        <c:auto val="1"/>
        <c:lblAlgn val="ctr"/>
        <c:lblOffset val="100"/>
        <c:noMultiLvlLbl val="0"/>
      </c:catAx>
      <c:valAx>
        <c:axId val="711688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168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Chart Title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Chart Title</a:t>
          </a:r>
        </a:p>
      </cx:txPr>
    </cx:title>
    <cx:plotArea>
      <cx:plotAreaRegion>
        <cx:series layoutId="clusteredColumn" uniqueId="{DFDE76DE-3DBB-4208-9BCF-EE1FF24A6A9A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5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6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8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9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4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9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13" Type="http://schemas.openxmlformats.org/officeDocument/2006/relationships/chart" Target="../charts/chart25.xml"/><Relationship Id="rId18" Type="http://schemas.openxmlformats.org/officeDocument/2006/relationships/chart" Target="../charts/chart3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17" Type="http://schemas.openxmlformats.org/officeDocument/2006/relationships/chart" Target="../charts/chart29.xml"/><Relationship Id="rId2" Type="http://schemas.openxmlformats.org/officeDocument/2006/relationships/chart" Target="../charts/chart14.xml"/><Relationship Id="rId16" Type="http://schemas.openxmlformats.org/officeDocument/2006/relationships/chart" Target="../charts/chart28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5" Type="http://schemas.openxmlformats.org/officeDocument/2006/relationships/chart" Target="../charts/chart27.xml"/><Relationship Id="rId10" Type="http://schemas.openxmlformats.org/officeDocument/2006/relationships/chart" Target="../charts/chart22.xml"/><Relationship Id="rId19" Type="http://schemas.openxmlformats.org/officeDocument/2006/relationships/chart" Target="../charts/chart31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Relationship Id="rId14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7" Type="http://schemas.openxmlformats.org/officeDocument/2006/relationships/chart" Target="../charts/chart41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6.xml"/><Relationship Id="rId3" Type="http://schemas.openxmlformats.org/officeDocument/2006/relationships/chart" Target="../charts/chart51.xml"/><Relationship Id="rId7" Type="http://schemas.openxmlformats.org/officeDocument/2006/relationships/chart" Target="../charts/chart55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4.xml"/><Relationship Id="rId13" Type="http://schemas.openxmlformats.org/officeDocument/2006/relationships/chart" Target="../charts/chart69.xml"/><Relationship Id="rId3" Type="http://schemas.openxmlformats.org/officeDocument/2006/relationships/chart" Target="../charts/chart59.xml"/><Relationship Id="rId7" Type="http://schemas.openxmlformats.org/officeDocument/2006/relationships/chart" Target="../charts/chart63.xml"/><Relationship Id="rId12" Type="http://schemas.openxmlformats.org/officeDocument/2006/relationships/chart" Target="../charts/chart68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6" Type="http://schemas.openxmlformats.org/officeDocument/2006/relationships/chart" Target="../charts/chart62.xml"/><Relationship Id="rId11" Type="http://schemas.openxmlformats.org/officeDocument/2006/relationships/chart" Target="../charts/chart67.xml"/><Relationship Id="rId5" Type="http://schemas.openxmlformats.org/officeDocument/2006/relationships/chart" Target="../charts/chart61.xml"/><Relationship Id="rId10" Type="http://schemas.openxmlformats.org/officeDocument/2006/relationships/chart" Target="../charts/chart66.xml"/><Relationship Id="rId4" Type="http://schemas.openxmlformats.org/officeDocument/2006/relationships/chart" Target="../charts/chart60.xml"/><Relationship Id="rId9" Type="http://schemas.openxmlformats.org/officeDocument/2006/relationships/chart" Target="../charts/chart65.xml"/><Relationship Id="rId14" Type="http://schemas.openxmlformats.org/officeDocument/2006/relationships/chart" Target="../charts/chart7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8.xml"/><Relationship Id="rId3" Type="http://schemas.openxmlformats.org/officeDocument/2006/relationships/chart" Target="../charts/chart73.xml"/><Relationship Id="rId7" Type="http://schemas.openxmlformats.org/officeDocument/2006/relationships/chart" Target="../charts/chart77.xml"/><Relationship Id="rId2" Type="http://schemas.openxmlformats.org/officeDocument/2006/relationships/chart" Target="../charts/chart72.xml"/><Relationship Id="rId1" Type="http://schemas.openxmlformats.org/officeDocument/2006/relationships/chart" Target="../charts/chart71.xml"/><Relationship Id="rId6" Type="http://schemas.openxmlformats.org/officeDocument/2006/relationships/chart" Target="../charts/chart76.xml"/><Relationship Id="rId5" Type="http://schemas.openxmlformats.org/officeDocument/2006/relationships/chart" Target="../charts/chart75.xml"/><Relationship Id="rId10" Type="http://schemas.openxmlformats.org/officeDocument/2006/relationships/chart" Target="../charts/chart80.xml"/><Relationship Id="rId4" Type="http://schemas.openxmlformats.org/officeDocument/2006/relationships/chart" Target="../charts/chart74.xml"/><Relationship Id="rId9" Type="http://schemas.openxmlformats.org/officeDocument/2006/relationships/chart" Target="../charts/chart7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2.xml"/><Relationship Id="rId1" Type="http://schemas.openxmlformats.org/officeDocument/2006/relationships/chart" Target="../charts/chart8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361122</xdr:colOff>
      <xdr:row>39</xdr:row>
      <xdr:rowOff>254000</xdr:rowOff>
    </xdr:from>
    <xdr:to>
      <xdr:col>21</xdr:col>
      <xdr:colOff>3396698</xdr:colOff>
      <xdr:row>45</xdr:row>
      <xdr:rowOff>1082675</xdr:rowOff>
    </xdr:to>
    <xdr:graphicFrame macro="">
      <xdr:nvGraphicFramePr>
        <xdr:cNvPr id="61" name="Chart 3">
          <a:extLst>
            <a:ext uri="{FF2B5EF4-FFF2-40B4-BE49-F238E27FC236}">
              <a16:creationId xmlns:a16="http://schemas.microsoft.com/office/drawing/2014/main" id="{AC3B835A-494C-DB1E-7A63-2534C56880B4}"/>
            </a:ext>
            <a:ext uri="{147F2762-F138-4A5C-976F-8EAC2B608ADB}">
              <a16:predDERef xmlns:a16="http://schemas.microsoft.com/office/drawing/2014/main" pred="{5A346F66-683B-8C5F-379C-15EB56563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999297</xdr:colOff>
      <xdr:row>86</xdr:row>
      <xdr:rowOff>682625</xdr:rowOff>
    </xdr:from>
    <xdr:to>
      <xdr:col>21</xdr:col>
      <xdr:colOff>4034873</xdr:colOff>
      <xdr:row>93</xdr:row>
      <xdr:rowOff>254000</xdr:rowOff>
    </xdr:to>
    <xdr:graphicFrame macro="">
      <xdr:nvGraphicFramePr>
        <xdr:cNvPr id="72" name="Chart 4">
          <a:extLst>
            <a:ext uri="{FF2B5EF4-FFF2-40B4-BE49-F238E27FC236}">
              <a16:creationId xmlns:a16="http://schemas.microsoft.com/office/drawing/2014/main" id="{C68A073C-35EA-C26F-CEEE-A405D0EE2C37}"/>
            </a:ext>
            <a:ext uri="{147F2762-F138-4A5C-976F-8EAC2B608ADB}">
              <a16:predDERef xmlns:a16="http://schemas.microsoft.com/office/drawing/2014/main" pred="{AC3B835A-494C-DB1E-7A63-2534C5688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1187174</xdr:colOff>
      <xdr:row>294</xdr:row>
      <xdr:rowOff>13805</xdr:rowOff>
    </xdr:from>
    <xdr:to>
      <xdr:col>7</xdr:col>
      <xdr:colOff>788856</xdr:colOff>
      <xdr:row>304</xdr:row>
      <xdr:rowOff>211393</xdr:rowOff>
    </xdr:to>
    <xdr:graphicFrame macro="">
      <xdr:nvGraphicFramePr>
        <xdr:cNvPr id="89" name="Chart 5">
          <a:extLst>
            <a:ext uri="{FF2B5EF4-FFF2-40B4-BE49-F238E27FC236}">
              <a16:creationId xmlns:a16="http://schemas.microsoft.com/office/drawing/2014/main" id="{29EBC87D-5329-486E-A007-FED9D274E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960059</xdr:colOff>
      <xdr:row>30</xdr:row>
      <xdr:rowOff>158447</xdr:rowOff>
    </xdr:from>
    <xdr:to>
      <xdr:col>28</xdr:col>
      <xdr:colOff>439964</xdr:colOff>
      <xdr:row>39</xdr:row>
      <xdr:rowOff>44147</xdr:rowOff>
    </xdr:to>
    <xdr:graphicFrame macro="">
      <xdr:nvGraphicFramePr>
        <xdr:cNvPr id="90" name="Chart 89">
          <a:extLst>
            <a:ext uri="{FF2B5EF4-FFF2-40B4-BE49-F238E27FC236}">
              <a16:creationId xmlns:a16="http://schemas.microsoft.com/office/drawing/2014/main" id="{8A30A1A4-6420-54A7-7D9F-42EC0636E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1065893</xdr:colOff>
      <xdr:row>25</xdr:row>
      <xdr:rowOff>206828</xdr:rowOff>
    </xdr:from>
    <xdr:to>
      <xdr:col>31</xdr:col>
      <xdr:colOff>1147536</xdr:colOff>
      <xdr:row>34</xdr:row>
      <xdr:rowOff>92528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1B65E0B1-1375-1808-EA08-30436A9D3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</xdr:colOff>
      <xdr:row>39</xdr:row>
      <xdr:rowOff>127855</xdr:rowOff>
    </xdr:from>
    <xdr:to>
      <xdr:col>11</xdr:col>
      <xdr:colOff>1132595</xdr:colOff>
      <xdr:row>53</xdr:row>
      <xdr:rowOff>164834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61172977-9155-7CC1-6AFB-0CF91A75D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393806</xdr:colOff>
      <xdr:row>19</xdr:row>
      <xdr:rowOff>108376</xdr:rowOff>
    </xdr:from>
    <xdr:to>
      <xdr:col>43</xdr:col>
      <xdr:colOff>76412</xdr:colOff>
      <xdr:row>34</xdr:row>
      <xdr:rowOff>55441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23095D-F347-E247-E05B-8B71C470E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1492761</xdr:colOff>
      <xdr:row>34</xdr:row>
      <xdr:rowOff>158172</xdr:rowOff>
    </xdr:from>
    <xdr:to>
      <xdr:col>28</xdr:col>
      <xdr:colOff>1712125</xdr:colOff>
      <xdr:row>54</xdr:row>
      <xdr:rowOff>161636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9BF35-26C3-A518-79CB-D356249C60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41565</xdr:colOff>
      <xdr:row>10</xdr:row>
      <xdr:rowOff>111907</xdr:rowOff>
    </xdr:from>
    <xdr:to>
      <xdr:col>30</xdr:col>
      <xdr:colOff>527711</xdr:colOff>
      <xdr:row>28</xdr:row>
      <xdr:rowOff>55495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C6246EBD-E310-E348-3239-815CF71F2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1512454</xdr:colOff>
      <xdr:row>24</xdr:row>
      <xdr:rowOff>77354</xdr:rowOff>
    </xdr:from>
    <xdr:to>
      <xdr:col>22</xdr:col>
      <xdr:colOff>666749</xdr:colOff>
      <xdr:row>47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2FFAE5-4B31-8D03-F558-C3A982737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1773020</xdr:colOff>
      <xdr:row>53</xdr:row>
      <xdr:rowOff>147420</xdr:rowOff>
    </xdr:from>
    <xdr:to>
      <xdr:col>6</xdr:col>
      <xdr:colOff>555314</xdr:colOff>
      <xdr:row>68</xdr:row>
      <xdr:rowOff>89149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CD3A9ED-D5AB-2C5F-1D96-CF240B16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33</xdr:row>
      <xdr:rowOff>0</xdr:rowOff>
    </xdr:from>
    <xdr:to>
      <xdr:col>38</xdr:col>
      <xdr:colOff>268432</xdr:colOff>
      <xdr:row>50</xdr:row>
      <xdr:rowOff>79659</xdr:rowOff>
    </xdr:to>
    <xdr:graphicFrame macro="">
      <xdr:nvGraphicFramePr>
        <xdr:cNvPr id="8" name="Chart 2">
          <a:extLst>
            <a:ext uri="{FF2B5EF4-FFF2-40B4-BE49-F238E27FC236}">
              <a16:creationId xmlns:a16="http://schemas.microsoft.com/office/drawing/2014/main" id="{C0C8E88A-EA35-4125-996E-90F28A971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195545</xdr:colOff>
      <xdr:row>2</xdr:row>
      <xdr:rowOff>25319</xdr:rowOff>
    </xdr:from>
    <xdr:to>
      <xdr:col>16</xdr:col>
      <xdr:colOff>508493</xdr:colOff>
      <xdr:row>17</xdr:row>
      <xdr:rowOff>6268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D87A2-A4F4-CD2A-5CB7-229FC65C1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246866</xdr:colOff>
      <xdr:row>18</xdr:row>
      <xdr:rowOff>69278</xdr:rowOff>
    </xdr:from>
    <xdr:to>
      <xdr:col>15</xdr:col>
      <xdr:colOff>395599</xdr:colOff>
      <xdr:row>33</xdr:row>
      <xdr:rowOff>120024</xdr:rowOff>
    </xdr:to>
    <xdr:graphicFrame macro="">
      <xdr:nvGraphicFramePr>
        <xdr:cNvPr id="11" name="Chart 2">
          <a:extLst>
            <a:ext uri="{FF2B5EF4-FFF2-40B4-BE49-F238E27FC236}">
              <a16:creationId xmlns:a16="http://schemas.microsoft.com/office/drawing/2014/main" id="{98FEE27C-BBB7-FD6F-A1C3-73F55F1012E8}"/>
            </a:ext>
            <a:ext uri="{147F2762-F138-4A5C-976F-8EAC2B608ADB}">
              <a16:predDERef xmlns:a16="http://schemas.microsoft.com/office/drawing/2014/main" pred="{C70D87A2-A4F4-CD2A-5CB7-229FC65C1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385702</xdr:colOff>
      <xdr:row>10</xdr:row>
      <xdr:rowOff>43689</xdr:rowOff>
    </xdr:from>
    <xdr:to>
      <xdr:col>23</xdr:col>
      <xdr:colOff>180012</xdr:colOff>
      <xdr:row>30</xdr:row>
      <xdr:rowOff>182513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4DEBD-829D-0017-C0D5-791D6DF5E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465795</xdr:colOff>
      <xdr:row>33</xdr:row>
      <xdr:rowOff>117746</xdr:rowOff>
    </xdr:from>
    <xdr:to>
      <xdr:col>17</xdr:col>
      <xdr:colOff>341855</xdr:colOff>
      <xdr:row>48</xdr:row>
      <xdr:rowOff>15556</xdr:rowOff>
    </xdr:to>
    <xdr:graphicFrame macro="">
      <xdr:nvGraphicFramePr>
        <xdr:cNvPr id="12" name="Chart 4">
          <a:extLst>
            <a:ext uri="{FF2B5EF4-FFF2-40B4-BE49-F238E27FC236}">
              <a16:creationId xmlns:a16="http://schemas.microsoft.com/office/drawing/2014/main" id="{46478543-FF9D-8015-CFB1-9667A9DC1DC3}"/>
            </a:ext>
            <a:ext uri="{147F2762-F138-4A5C-976F-8EAC2B608ADB}">
              <a16:predDERef xmlns:a16="http://schemas.microsoft.com/office/drawing/2014/main" pred="{2524DEBD-829D-0017-C0D5-791D6DF5E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485339</xdr:colOff>
      <xdr:row>53</xdr:row>
      <xdr:rowOff>96332</xdr:rowOff>
    </xdr:from>
    <xdr:to>
      <xdr:col>6</xdr:col>
      <xdr:colOff>1148297</xdr:colOff>
      <xdr:row>67</xdr:row>
      <xdr:rowOff>76266</xdr:rowOff>
    </xdr:to>
    <xdr:graphicFrame macro="">
      <xdr:nvGraphicFramePr>
        <xdr:cNvPr id="37" name="Chart 5">
          <a:extLst>
            <a:ext uri="{FF2B5EF4-FFF2-40B4-BE49-F238E27FC236}">
              <a16:creationId xmlns:a16="http://schemas.microsoft.com/office/drawing/2014/main" id="{D03928A6-BD43-BC3D-718D-DCE9E6AB43CE}"/>
            </a:ext>
            <a:ext uri="{147F2762-F138-4A5C-976F-8EAC2B608ADB}">
              <a16:predDERef xmlns:a16="http://schemas.microsoft.com/office/drawing/2014/main" pred="{46478543-FF9D-8015-CFB1-9667A9DC1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638676</xdr:colOff>
      <xdr:row>53</xdr:row>
      <xdr:rowOff>78205</xdr:rowOff>
    </xdr:from>
    <xdr:to>
      <xdr:col>13</xdr:col>
      <xdr:colOff>288255</xdr:colOff>
      <xdr:row>67</xdr:row>
      <xdr:rowOff>28576</xdr:rowOff>
    </xdr:to>
    <xdr:graphicFrame macro="">
      <xdr:nvGraphicFramePr>
        <xdr:cNvPr id="15" name="Chart 6">
          <a:extLst>
            <a:ext uri="{FF2B5EF4-FFF2-40B4-BE49-F238E27FC236}">
              <a16:creationId xmlns:a16="http://schemas.microsoft.com/office/drawing/2014/main" id="{25E2FDA0-61DE-9F9F-A7A2-1E9964B4DD56}"/>
            </a:ext>
            <a:ext uri="{147F2762-F138-4A5C-976F-8EAC2B608ADB}">
              <a16:predDERef xmlns:a16="http://schemas.microsoft.com/office/drawing/2014/main" pred="{D03928A6-BD43-BC3D-718D-DCE9E6AB4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886328</xdr:colOff>
      <xdr:row>73</xdr:row>
      <xdr:rowOff>116115</xdr:rowOff>
    </xdr:from>
    <xdr:to>
      <xdr:col>19</xdr:col>
      <xdr:colOff>178280</xdr:colOff>
      <xdr:row>88</xdr:row>
      <xdr:rowOff>990</xdr:rowOff>
    </xdr:to>
    <xdr:graphicFrame macro="">
      <xdr:nvGraphicFramePr>
        <xdr:cNvPr id="27" name="Chart 16">
          <a:extLst>
            <a:ext uri="{FF2B5EF4-FFF2-40B4-BE49-F238E27FC236}">
              <a16:creationId xmlns:a16="http://schemas.microsoft.com/office/drawing/2014/main" id="{DDEAE7D6-8F07-E9AD-B14E-765533B80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406924</xdr:colOff>
      <xdr:row>86</xdr:row>
      <xdr:rowOff>169466</xdr:rowOff>
    </xdr:from>
    <xdr:to>
      <xdr:col>23</xdr:col>
      <xdr:colOff>275046</xdr:colOff>
      <xdr:row>101</xdr:row>
      <xdr:rowOff>108770</xdr:rowOff>
    </xdr:to>
    <xdr:graphicFrame macro="">
      <xdr:nvGraphicFramePr>
        <xdr:cNvPr id="23" name="Chart 2">
          <a:extLst>
            <a:ext uri="{FF2B5EF4-FFF2-40B4-BE49-F238E27FC236}">
              <a16:creationId xmlns:a16="http://schemas.microsoft.com/office/drawing/2014/main" id="{984B136C-3D6E-CEA2-4F23-684AAB61A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40821</xdr:colOff>
      <xdr:row>68</xdr:row>
      <xdr:rowOff>179614</xdr:rowOff>
    </xdr:from>
    <xdr:to>
      <xdr:col>9</xdr:col>
      <xdr:colOff>911678</xdr:colOff>
      <xdr:row>83</xdr:row>
      <xdr:rowOff>119743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893633-2981-BDB9-8D43-9732628D6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1186481</xdr:colOff>
      <xdr:row>44</xdr:row>
      <xdr:rowOff>198696</xdr:rowOff>
    </xdr:from>
    <xdr:to>
      <xdr:col>8</xdr:col>
      <xdr:colOff>782802</xdr:colOff>
      <xdr:row>55</xdr:row>
      <xdr:rowOff>14546</xdr:rowOff>
    </xdr:to>
    <xdr:graphicFrame macro="">
      <xdr:nvGraphicFramePr>
        <xdr:cNvPr id="28" name="Chart 5">
          <a:extLst>
            <a:ext uri="{FF2B5EF4-FFF2-40B4-BE49-F238E27FC236}">
              <a16:creationId xmlns:a16="http://schemas.microsoft.com/office/drawing/2014/main" id="{5C925389-06CF-C381-B328-7AEB20298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1409043</xdr:colOff>
      <xdr:row>73</xdr:row>
      <xdr:rowOff>51677</xdr:rowOff>
    </xdr:from>
    <xdr:to>
      <xdr:col>3</xdr:col>
      <xdr:colOff>372242</xdr:colOff>
      <xdr:row>82</xdr:row>
      <xdr:rowOff>142327</xdr:rowOff>
    </xdr:to>
    <xdr:graphicFrame macro="">
      <xdr:nvGraphicFramePr>
        <xdr:cNvPr id="39" name="Chart 7">
          <a:extLst>
            <a:ext uri="{FF2B5EF4-FFF2-40B4-BE49-F238E27FC236}">
              <a16:creationId xmlns:a16="http://schemas.microsoft.com/office/drawing/2014/main" id="{A14B2400-9389-7941-2D53-E855E774C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1441888</xdr:colOff>
      <xdr:row>81</xdr:row>
      <xdr:rowOff>106417</xdr:rowOff>
    </xdr:from>
    <xdr:to>
      <xdr:col>5</xdr:col>
      <xdr:colOff>558362</xdr:colOff>
      <xdr:row>92</xdr:row>
      <xdr:rowOff>109483</xdr:rowOff>
    </xdr:to>
    <xdr:graphicFrame macro="">
      <xdr:nvGraphicFramePr>
        <xdr:cNvPr id="38" name="Chart 8">
          <a:extLst>
            <a:ext uri="{FF2B5EF4-FFF2-40B4-BE49-F238E27FC236}">
              <a16:creationId xmlns:a16="http://schemas.microsoft.com/office/drawing/2014/main" id="{C160A866-0D24-E867-0DCB-9553E2494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532230</xdr:colOff>
      <xdr:row>149</xdr:row>
      <xdr:rowOff>27083</xdr:rowOff>
    </xdr:from>
    <xdr:to>
      <xdr:col>20</xdr:col>
      <xdr:colOff>628765</xdr:colOff>
      <xdr:row>163</xdr:row>
      <xdr:rowOff>55110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37876A-F612-1C85-6CF1-F1A8ECBB1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662438</xdr:colOff>
      <xdr:row>101</xdr:row>
      <xdr:rowOff>89063</xdr:rowOff>
    </xdr:from>
    <xdr:to>
      <xdr:col>18</xdr:col>
      <xdr:colOff>469360</xdr:colOff>
      <xdr:row>115</xdr:row>
      <xdr:rowOff>143151</xdr:rowOff>
    </xdr:to>
    <xdr:graphicFrame macro="">
      <xdr:nvGraphicFramePr>
        <xdr:cNvPr id="22" name="Chart 12">
          <a:extLst>
            <a:ext uri="{FF2B5EF4-FFF2-40B4-BE49-F238E27FC236}">
              <a16:creationId xmlns:a16="http://schemas.microsoft.com/office/drawing/2014/main" id="{297ADE09-B9BF-7D42-6698-92D730512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580702</xdr:colOff>
      <xdr:row>170</xdr:row>
      <xdr:rowOff>18038</xdr:rowOff>
    </xdr:from>
    <xdr:to>
      <xdr:col>8</xdr:col>
      <xdr:colOff>836542</xdr:colOff>
      <xdr:row>185</xdr:row>
      <xdr:rowOff>368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0524F5-BA03-80D2-27BF-737D19E7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865992</xdr:colOff>
      <xdr:row>126</xdr:row>
      <xdr:rowOff>77855</xdr:rowOff>
    </xdr:from>
    <xdr:to>
      <xdr:col>10</xdr:col>
      <xdr:colOff>77304</xdr:colOff>
      <xdr:row>140</xdr:row>
      <xdr:rowOff>152216</xdr:rowOff>
    </xdr:to>
    <xdr:graphicFrame macro="">
      <xdr:nvGraphicFramePr>
        <xdr:cNvPr id="25" name="Chart 15">
          <a:extLst>
            <a:ext uri="{FF2B5EF4-FFF2-40B4-BE49-F238E27FC236}">
              <a16:creationId xmlns:a16="http://schemas.microsoft.com/office/drawing/2014/main" id="{2DAF1561-4FEE-D7E0-1AA0-958D0CF83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318420</xdr:colOff>
      <xdr:row>198</xdr:row>
      <xdr:rowOff>128473</xdr:rowOff>
    </xdr:from>
    <xdr:to>
      <xdr:col>9</xdr:col>
      <xdr:colOff>265963</xdr:colOff>
      <xdr:row>213</xdr:row>
      <xdr:rowOff>110803</xdr:rowOff>
    </xdr:to>
    <xdr:graphicFrame macro="">
      <xdr:nvGraphicFramePr>
        <xdr:cNvPr id="24" name="Chart 17">
          <a:extLst>
            <a:ext uri="{FF2B5EF4-FFF2-40B4-BE49-F238E27FC236}">
              <a16:creationId xmlns:a16="http://schemas.microsoft.com/office/drawing/2014/main" id="{3DB0FB02-378B-6E69-9036-8FA24A72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11</xdr:col>
      <xdr:colOff>318053</xdr:colOff>
      <xdr:row>173</xdr:row>
      <xdr:rowOff>20707</xdr:rowOff>
    </xdr:from>
    <xdr:to>
      <xdr:col>17</xdr:col>
      <xdr:colOff>469900</xdr:colOff>
      <xdr:row>187</xdr:row>
      <xdr:rowOff>115405</xdr:rowOff>
    </xdr:to>
    <xdr:graphicFrame macro="">
      <xdr:nvGraphicFramePr>
        <xdr:cNvPr id="40" name="Chart 12">
          <a:extLst>
            <a:ext uri="{FF2B5EF4-FFF2-40B4-BE49-F238E27FC236}">
              <a16:creationId xmlns:a16="http://schemas.microsoft.com/office/drawing/2014/main" id="{0CEAEFEF-FFD8-1350-1A23-F4AAA3FF9B86}"/>
            </a:ext>
            <a:ext uri="{147F2762-F138-4A5C-976F-8EAC2B608ADB}">
              <a16:predDERef xmlns:a16="http://schemas.microsoft.com/office/drawing/2014/main" pred="{3DB0FB02-378B-6E69-9036-8FA24A72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775607</xdr:colOff>
      <xdr:row>97</xdr:row>
      <xdr:rowOff>70757</xdr:rowOff>
    </xdr:from>
    <xdr:to>
      <xdr:col>7</xdr:col>
      <xdr:colOff>843643</xdr:colOff>
      <xdr:row>111</xdr:row>
      <xdr:rowOff>10886</xdr:rowOff>
    </xdr:to>
    <xdr:graphicFrame macro="">
      <xdr:nvGraphicFramePr>
        <xdr:cNvPr id="35" name="Chart 13">
          <a:extLst>
            <a:ext uri="{FF2B5EF4-FFF2-40B4-BE49-F238E27FC236}">
              <a16:creationId xmlns:a16="http://schemas.microsoft.com/office/drawing/2014/main" id="{5FEE670D-A27B-DE6B-4671-DE7C7FEE8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</xdr:colOff>
      <xdr:row>45</xdr:row>
      <xdr:rowOff>41275</xdr:rowOff>
    </xdr:from>
    <xdr:to>
      <xdr:col>7</xdr:col>
      <xdr:colOff>333375</xdr:colOff>
      <xdr:row>60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77EED3-D83E-06EB-A30A-E42FE4B97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8225" y="8328025"/>
              <a:ext cx="45656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1019175</xdr:colOff>
      <xdr:row>36</xdr:row>
      <xdr:rowOff>157162</xdr:rowOff>
    </xdr:from>
    <xdr:to>
      <xdr:col>10</xdr:col>
      <xdr:colOff>819150</xdr:colOff>
      <xdr:row>51</xdr:row>
      <xdr:rowOff>42862</xdr:rowOff>
    </xdr:to>
    <xdr:graphicFrame macro="">
      <xdr:nvGraphicFramePr>
        <xdr:cNvPr id="22" name="Chart 2">
          <a:extLst>
            <a:ext uri="{FF2B5EF4-FFF2-40B4-BE49-F238E27FC236}">
              <a16:creationId xmlns:a16="http://schemas.microsoft.com/office/drawing/2014/main" id="{6EE35248-6A1C-EEBC-28F2-E76C73622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757237</xdr:colOff>
      <xdr:row>102</xdr:row>
      <xdr:rowOff>166687</xdr:rowOff>
    </xdr:from>
    <xdr:to>
      <xdr:col>9</xdr:col>
      <xdr:colOff>604837</xdr:colOff>
      <xdr:row>117</xdr:row>
      <xdr:rowOff>52387</xdr:rowOff>
    </xdr:to>
    <xdr:graphicFrame macro="">
      <xdr:nvGraphicFramePr>
        <xdr:cNvPr id="37" name="Chart 3">
          <a:extLst>
            <a:ext uri="{FF2B5EF4-FFF2-40B4-BE49-F238E27FC236}">
              <a16:creationId xmlns:a16="http://schemas.microsoft.com/office/drawing/2014/main" id="{EBD9B2B3-2BB3-9DED-ED3F-21122D8BA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299757</xdr:colOff>
      <xdr:row>82</xdr:row>
      <xdr:rowOff>123079</xdr:rowOff>
    </xdr:from>
    <xdr:to>
      <xdr:col>22</xdr:col>
      <xdr:colOff>112991</xdr:colOff>
      <xdr:row>97</xdr:row>
      <xdr:rowOff>30817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1D01F-C735-6C70-9461-793F8BDCE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</xdr:colOff>
      <xdr:row>39</xdr:row>
      <xdr:rowOff>127855</xdr:rowOff>
    </xdr:from>
    <xdr:to>
      <xdr:col>11</xdr:col>
      <xdr:colOff>1132595</xdr:colOff>
      <xdr:row>53</xdr:row>
      <xdr:rowOff>164834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8629B-4745-4D9F-B6F3-4805789D0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393806</xdr:colOff>
      <xdr:row>19</xdr:row>
      <xdr:rowOff>108376</xdr:rowOff>
    </xdr:from>
    <xdr:to>
      <xdr:col>43</xdr:col>
      <xdr:colOff>76412</xdr:colOff>
      <xdr:row>34</xdr:row>
      <xdr:rowOff>55441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C44CA6-EAED-4BC7-9D98-7F55712E2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1492761</xdr:colOff>
      <xdr:row>34</xdr:row>
      <xdr:rowOff>158172</xdr:rowOff>
    </xdr:from>
    <xdr:to>
      <xdr:col>28</xdr:col>
      <xdr:colOff>1712125</xdr:colOff>
      <xdr:row>54</xdr:row>
      <xdr:rowOff>161636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61D74F-10D5-453F-91F2-6EA3B461F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41565</xdr:colOff>
      <xdr:row>10</xdr:row>
      <xdr:rowOff>111907</xdr:rowOff>
    </xdr:from>
    <xdr:to>
      <xdr:col>30</xdr:col>
      <xdr:colOff>527711</xdr:colOff>
      <xdr:row>28</xdr:row>
      <xdr:rowOff>55495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29153546-F0F3-48BC-9A61-25048DFD31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1512454</xdr:colOff>
      <xdr:row>24</xdr:row>
      <xdr:rowOff>77354</xdr:rowOff>
    </xdr:from>
    <xdr:to>
      <xdr:col>22</xdr:col>
      <xdr:colOff>666749</xdr:colOff>
      <xdr:row>47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5E7A5A4-AD85-4B1B-A082-BA1127A89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1773020</xdr:colOff>
      <xdr:row>53</xdr:row>
      <xdr:rowOff>147420</xdr:rowOff>
    </xdr:from>
    <xdr:to>
      <xdr:col>6</xdr:col>
      <xdr:colOff>555314</xdr:colOff>
      <xdr:row>68</xdr:row>
      <xdr:rowOff>89149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845A91-A2EC-4B9A-B63F-E4B14D86B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0</xdr:colOff>
      <xdr:row>33</xdr:row>
      <xdr:rowOff>0</xdr:rowOff>
    </xdr:from>
    <xdr:to>
      <xdr:col>38</xdr:col>
      <xdr:colOff>268432</xdr:colOff>
      <xdr:row>50</xdr:row>
      <xdr:rowOff>79659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D32ACE-05BA-42CB-8231-F2111579A4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1952897</xdr:colOff>
      <xdr:row>14</xdr:row>
      <xdr:rowOff>99467</xdr:rowOff>
    </xdr:from>
    <xdr:to>
      <xdr:col>15</xdr:col>
      <xdr:colOff>600878</xdr:colOff>
      <xdr:row>29</xdr:row>
      <xdr:rowOff>80419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E789AC-0340-84A6-1F92-81A776270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502426</xdr:colOff>
      <xdr:row>27</xdr:row>
      <xdr:rowOff>20055</xdr:rowOff>
    </xdr:from>
    <xdr:to>
      <xdr:col>10</xdr:col>
      <xdr:colOff>366576</xdr:colOff>
      <xdr:row>41</xdr:row>
      <xdr:rowOff>164640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500BF-0E75-C35C-7C80-E826B72F1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425823</xdr:colOff>
      <xdr:row>9</xdr:row>
      <xdr:rowOff>107576</xdr:rowOff>
    </xdr:from>
    <xdr:to>
      <xdr:col>18</xdr:col>
      <xdr:colOff>317499</xdr:colOff>
      <xdr:row>24</xdr:row>
      <xdr:rowOff>49306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9C39A15-2B28-DE4C-5A87-9D4BACD5F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447675</xdr:colOff>
      <xdr:row>34</xdr:row>
      <xdr:rowOff>95250</xdr:rowOff>
    </xdr:from>
    <xdr:to>
      <xdr:col>11</xdr:col>
      <xdr:colOff>314325</xdr:colOff>
      <xdr:row>49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FE6DE9-D91D-7EEE-ECC0-830B52BD4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142875</xdr:colOff>
      <xdr:row>82</xdr:row>
      <xdr:rowOff>76200</xdr:rowOff>
    </xdr:from>
    <xdr:to>
      <xdr:col>8</xdr:col>
      <xdr:colOff>1666875</xdr:colOff>
      <xdr:row>97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7800F2-0BFC-67EB-CB2D-307A998CD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470649</xdr:colOff>
      <xdr:row>91</xdr:row>
      <xdr:rowOff>66489</xdr:rowOff>
    </xdr:from>
    <xdr:to>
      <xdr:col>24</xdr:col>
      <xdr:colOff>7472</xdr:colOff>
      <xdr:row>106</xdr:row>
      <xdr:rowOff>8218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D0CFCE7-ADA6-4C0A-483A-068A1508D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437030</xdr:colOff>
      <xdr:row>88</xdr:row>
      <xdr:rowOff>135590</xdr:rowOff>
    </xdr:from>
    <xdr:to>
      <xdr:col>9</xdr:col>
      <xdr:colOff>425824</xdr:colOff>
      <xdr:row>103</xdr:row>
      <xdr:rowOff>21290</xdr:rowOff>
    </xdr:to>
    <xdr:graphicFrame macro="">
      <xdr:nvGraphicFramePr>
        <xdr:cNvPr id="10" name="Chart 7">
          <a:extLst>
            <a:ext uri="{FF2B5EF4-FFF2-40B4-BE49-F238E27FC236}">
              <a16:creationId xmlns:a16="http://schemas.microsoft.com/office/drawing/2014/main" id="{76C39413-2E63-DDC5-456A-99276AAA4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523422</xdr:colOff>
      <xdr:row>80</xdr:row>
      <xdr:rowOff>65628</xdr:rowOff>
    </xdr:from>
    <xdr:to>
      <xdr:col>48</xdr:col>
      <xdr:colOff>62475</xdr:colOff>
      <xdr:row>98</xdr:row>
      <xdr:rowOff>163286</xdr:rowOff>
    </xdr:to>
    <xdr:graphicFrame macro="">
      <xdr:nvGraphicFramePr>
        <xdr:cNvPr id="25" name="Chart 2">
          <a:extLst>
            <a:ext uri="{FF2B5EF4-FFF2-40B4-BE49-F238E27FC236}">
              <a16:creationId xmlns:a16="http://schemas.microsoft.com/office/drawing/2014/main" id="{C2B84326-DEFC-E0C7-526D-B327F91DCF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267607</xdr:colOff>
      <xdr:row>39</xdr:row>
      <xdr:rowOff>107950</xdr:rowOff>
    </xdr:from>
    <xdr:to>
      <xdr:col>17</xdr:col>
      <xdr:colOff>146050</xdr:colOff>
      <xdr:row>54</xdr:row>
      <xdr:rowOff>129721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3F28F3-FA9E-06B3-F150-BA9F41EC4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1805214</xdr:colOff>
      <xdr:row>40</xdr:row>
      <xdr:rowOff>124430</xdr:rowOff>
    </xdr:from>
    <xdr:to>
      <xdr:col>21</xdr:col>
      <xdr:colOff>67503</xdr:colOff>
      <xdr:row>60</xdr:row>
      <xdr:rowOff>42690</xdr:rowOff>
    </xdr:to>
    <xdr:graphicFrame macro="">
      <xdr:nvGraphicFramePr>
        <xdr:cNvPr id="18" name="Chart 4">
          <a:extLst>
            <a:ext uri="{FF2B5EF4-FFF2-40B4-BE49-F238E27FC236}">
              <a16:creationId xmlns:a16="http://schemas.microsoft.com/office/drawing/2014/main" id="{74726A3F-FE47-1830-7593-7AE6572E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10780</xdr:colOff>
      <xdr:row>37</xdr:row>
      <xdr:rowOff>101494</xdr:rowOff>
    </xdr:from>
    <xdr:to>
      <xdr:col>30</xdr:col>
      <xdr:colOff>69584</xdr:colOff>
      <xdr:row>56</xdr:row>
      <xdr:rowOff>43222</xdr:rowOff>
    </xdr:to>
    <xdr:graphicFrame macro="">
      <xdr:nvGraphicFramePr>
        <xdr:cNvPr id="22" name="Chart 5">
          <a:extLst>
            <a:ext uri="{FF2B5EF4-FFF2-40B4-BE49-F238E27FC236}">
              <a16:creationId xmlns:a16="http://schemas.microsoft.com/office/drawing/2014/main" id="{2446621D-A734-49EC-AF72-D6C951DD7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427317</xdr:colOff>
      <xdr:row>91</xdr:row>
      <xdr:rowOff>15342</xdr:rowOff>
    </xdr:from>
    <xdr:to>
      <xdr:col>8</xdr:col>
      <xdr:colOff>276304</xdr:colOff>
      <xdr:row>106</xdr:row>
      <xdr:rowOff>143836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4150CDC0-B101-A346-F64B-E84603621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59141</xdr:colOff>
      <xdr:row>24</xdr:row>
      <xdr:rowOff>157499</xdr:rowOff>
    </xdr:from>
    <xdr:to>
      <xdr:col>18</xdr:col>
      <xdr:colOff>192114</xdr:colOff>
      <xdr:row>39</xdr:row>
      <xdr:rowOff>112895</xdr:rowOff>
    </xdr:to>
    <xdr:graphicFrame macro="">
      <xdr:nvGraphicFramePr>
        <xdr:cNvPr id="15" name="Chart 7">
          <a:extLst>
            <a:ext uri="{FF2B5EF4-FFF2-40B4-BE49-F238E27FC236}">
              <a16:creationId xmlns:a16="http://schemas.microsoft.com/office/drawing/2014/main" id="{549B9640-AECF-CCD8-B35F-4E07F9BFF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37172</xdr:colOff>
      <xdr:row>83</xdr:row>
      <xdr:rowOff>16495</xdr:rowOff>
    </xdr:from>
    <xdr:to>
      <xdr:col>13</xdr:col>
      <xdr:colOff>288074</xdr:colOff>
      <xdr:row>97</xdr:row>
      <xdr:rowOff>157743</xdr:rowOff>
    </xdr:to>
    <xdr:graphicFrame macro="">
      <xdr:nvGraphicFramePr>
        <xdr:cNvPr id="27" name="Chart 18">
          <a:extLst>
            <a:ext uri="{FF2B5EF4-FFF2-40B4-BE49-F238E27FC236}">
              <a16:creationId xmlns:a16="http://schemas.microsoft.com/office/drawing/2014/main" id="{F192B3DC-EBCC-115A-13AF-B6C30D3D5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1700438</xdr:colOff>
      <xdr:row>10</xdr:row>
      <xdr:rowOff>111578</xdr:rowOff>
    </xdr:from>
    <xdr:to>
      <xdr:col>14</xdr:col>
      <xdr:colOff>1939016</xdr:colOff>
      <xdr:row>24</xdr:row>
      <xdr:rowOff>187778</xdr:rowOff>
    </xdr:to>
    <xdr:graphicFrame macro="">
      <xdr:nvGraphicFramePr>
        <xdr:cNvPr id="17" name="Chart 4">
          <a:extLst>
            <a:ext uri="{FF2B5EF4-FFF2-40B4-BE49-F238E27FC236}">
              <a16:creationId xmlns:a16="http://schemas.microsoft.com/office/drawing/2014/main" id="{35C14BE7-DA65-8A91-A8BA-B9AB4C2A9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518845</xdr:colOff>
      <xdr:row>8</xdr:row>
      <xdr:rowOff>12976</xdr:rowOff>
    </xdr:from>
    <xdr:to>
      <xdr:col>22</xdr:col>
      <xdr:colOff>552822</xdr:colOff>
      <xdr:row>29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B62625-AC70-9788-DB1E-1BE8B0950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508534</xdr:colOff>
      <xdr:row>53</xdr:row>
      <xdr:rowOff>25402</xdr:rowOff>
    </xdr:from>
    <xdr:to>
      <xdr:col>21</xdr:col>
      <xdr:colOff>472249</xdr:colOff>
      <xdr:row>67</xdr:row>
      <xdr:rowOff>148559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152A4A-9880-70CE-A5D2-F5A7A551B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1730994</xdr:colOff>
      <xdr:row>28</xdr:row>
      <xdr:rowOff>165759</xdr:rowOff>
    </xdr:from>
    <xdr:to>
      <xdr:col>10</xdr:col>
      <xdr:colOff>2184565</xdr:colOff>
      <xdr:row>52</xdr:row>
      <xdr:rowOff>24122</xdr:rowOff>
    </xdr:to>
    <xdr:graphicFrame macro="">
      <xdr:nvGraphicFramePr>
        <xdr:cNvPr id="22" name="Chart 4">
          <a:extLst>
            <a:ext uri="{FF2B5EF4-FFF2-40B4-BE49-F238E27FC236}">
              <a16:creationId xmlns:a16="http://schemas.microsoft.com/office/drawing/2014/main" id="{88194854-D160-5D63-2466-3593806FCC37}"/>
            </a:ext>
            <a:ext uri="{147F2762-F138-4A5C-976F-8EAC2B608ADB}">
              <a16:predDERef xmlns:a16="http://schemas.microsoft.com/office/drawing/2014/main" pred="{BB152A4A-9880-70CE-A5D2-F5A7A551B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430892</xdr:colOff>
      <xdr:row>7</xdr:row>
      <xdr:rowOff>57150</xdr:rowOff>
    </xdr:from>
    <xdr:to>
      <xdr:col>18</xdr:col>
      <xdr:colOff>140607</xdr:colOff>
      <xdr:row>22</xdr:row>
      <xdr:rowOff>78921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F97845-7883-B9E4-4DFF-494B7AFC3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594180</xdr:colOff>
      <xdr:row>74</xdr:row>
      <xdr:rowOff>75293</xdr:rowOff>
    </xdr:from>
    <xdr:to>
      <xdr:col>19</xdr:col>
      <xdr:colOff>303894</xdr:colOff>
      <xdr:row>89</xdr:row>
      <xdr:rowOff>97064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3C5A17-8232-5971-B08A-ABDB4841E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70758</xdr:colOff>
      <xdr:row>91</xdr:row>
      <xdr:rowOff>135165</xdr:rowOff>
    </xdr:from>
    <xdr:to>
      <xdr:col>19</xdr:col>
      <xdr:colOff>1256393</xdr:colOff>
      <xdr:row>106</xdr:row>
      <xdr:rowOff>125639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8F4240-C40F-8F43-3F46-E85BE12AA349}"/>
            </a:ext>
            <a:ext uri="{147F2762-F138-4A5C-976F-8EAC2B608ADB}">
              <a16:predDERef xmlns:a16="http://schemas.microsoft.com/office/drawing/2014/main" pred="{943C5A17-8232-5971-B08A-ABDB4841E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711628</xdr:colOff>
      <xdr:row>96</xdr:row>
      <xdr:rowOff>157709</xdr:rowOff>
    </xdr:from>
    <xdr:to>
      <xdr:col>20</xdr:col>
      <xdr:colOff>263978</xdr:colOff>
      <xdr:row>123</xdr:row>
      <xdr:rowOff>25853</xdr:rowOff>
    </xdr:to>
    <xdr:graphicFrame macro="">
      <xdr:nvGraphicFramePr>
        <xdr:cNvPr id="26" name="Chart 8">
          <a:extLst>
            <a:ext uri="{FF2B5EF4-FFF2-40B4-BE49-F238E27FC236}">
              <a16:creationId xmlns:a16="http://schemas.microsoft.com/office/drawing/2014/main" id="{FD43AA8B-D1B8-F2F2-4383-E985F4C29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377372</xdr:colOff>
      <xdr:row>75</xdr:row>
      <xdr:rowOff>9525</xdr:rowOff>
    </xdr:from>
    <xdr:to>
      <xdr:col>19</xdr:col>
      <xdr:colOff>860425</xdr:colOff>
      <xdr:row>92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40D143-A04E-DF16-9155-7C8CECE1A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1823571</xdr:colOff>
      <xdr:row>150</xdr:row>
      <xdr:rowOff>143062</xdr:rowOff>
    </xdr:from>
    <xdr:to>
      <xdr:col>17</xdr:col>
      <xdr:colOff>254374</xdr:colOff>
      <xdr:row>165</xdr:row>
      <xdr:rowOff>84791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684565-77D5-DAD8-D0E2-C1ADD5899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293914</xdr:colOff>
      <xdr:row>156</xdr:row>
      <xdr:rowOff>58305</xdr:rowOff>
    </xdr:from>
    <xdr:to>
      <xdr:col>8</xdr:col>
      <xdr:colOff>398318</xdr:colOff>
      <xdr:row>190</xdr:row>
      <xdr:rowOff>103909</xdr:rowOff>
    </xdr:to>
    <xdr:graphicFrame macro="">
      <xdr:nvGraphicFramePr>
        <xdr:cNvPr id="15" name="Chart 9">
          <a:extLst>
            <a:ext uri="{FF2B5EF4-FFF2-40B4-BE49-F238E27FC236}">
              <a16:creationId xmlns:a16="http://schemas.microsoft.com/office/drawing/2014/main" id="{C3195F6E-3D1D-0BA0-E57A-12E82CAE3E4A}"/>
            </a:ext>
            <a:ext uri="{147F2762-F138-4A5C-976F-8EAC2B608ADB}">
              <a16:predDERef xmlns:a16="http://schemas.microsoft.com/office/drawing/2014/main" pred="{8C684565-77D5-DAD8-D0E2-C1ADD5899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814387</xdr:colOff>
      <xdr:row>165</xdr:row>
      <xdr:rowOff>4762</xdr:rowOff>
    </xdr:from>
    <xdr:to>
      <xdr:col>16</xdr:col>
      <xdr:colOff>4762</xdr:colOff>
      <xdr:row>179</xdr:row>
      <xdr:rowOff>80962</xdr:rowOff>
    </xdr:to>
    <xdr:graphicFrame macro="">
      <xdr:nvGraphicFramePr>
        <xdr:cNvPr id="9" name="Chart 11">
          <a:extLst>
            <a:ext uri="{FF2B5EF4-FFF2-40B4-BE49-F238E27FC236}">
              <a16:creationId xmlns:a16="http://schemas.microsoft.com/office/drawing/2014/main" id="{7530628E-DBF2-3A59-36EA-7B53B0188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416506</xdr:colOff>
      <xdr:row>191</xdr:row>
      <xdr:rowOff>123382</xdr:rowOff>
    </xdr:from>
    <xdr:to>
      <xdr:col>19</xdr:col>
      <xdr:colOff>476220</xdr:colOff>
      <xdr:row>206</xdr:row>
      <xdr:rowOff>9082</xdr:rowOff>
    </xdr:to>
    <xdr:graphicFrame macro="">
      <xdr:nvGraphicFramePr>
        <xdr:cNvPr id="23" name="Chart 12">
          <a:extLst>
            <a:ext uri="{FF2B5EF4-FFF2-40B4-BE49-F238E27FC236}">
              <a16:creationId xmlns:a16="http://schemas.microsoft.com/office/drawing/2014/main" id="{3D0DF688-5DE5-A46F-1B97-D97196EC2F32}"/>
            </a:ext>
            <a:ext uri="{147F2762-F138-4A5C-976F-8EAC2B608ADB}">
              <a16:predDERef xmlns:a16="http://schemas.microsoft.com/office/drawing/2014/main" pred="{7530628E-DBF2-3A59-36EA-7B53B0188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336373</xdr:colOff>
      <xdr:row>83</xdr:row>
      <xdr:rowOff>56868</xdr:rowOff>
    </xdr:from>
    <xdr:to>
      <xdr:col>12</xdr:col>
      <xdr:colOff>287419</xdr:colOff>
      <xdr:row>97</xdr:row>
      <xdr:rowOff>133069</xdr:rowOff>
    </xdr:to>
    <xdr:graphicFrame macro="">
      <xdr:nvGraphicFramePr>
        <xdr:cNvPr id="18" name="Chart 4">
          <a:extLst>
            <a:ext uri="{FF2B5EF4-FFF2-40B4-BE49-F238E27FC236}">
              <a16:creationId xmlns:a16="http://schemas.microsoft.com/office/drawing/2014/main" id="{53A91F48-3527-907C-ABBE-26E5FCE34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103187</xdr:colOff>
      <xdr:row>192</xdr:row>
      <xdr:rowOff>176212</xdr:rowOff>
    </xdr:from>
    <xdr:to>
      <xdr:col>12</xdr:col>
      <xdr:colOff>55562</xdr:colOff>
      <xdr:row>207</xdr:row>
      <xdr:rowOff>61912</xdr:rowOff>
    </xdr:to>
    <xdr:graphicFrame macro="">
      <xdr:nvGraphicFramePr>
        <xdr:cNvPr id="32" name="Chart 9">
          <a:extLst>
            <a:ext uri="{FF2B5EF4-FFF2-40B4-BE49-F238E27FC236}">
              <a16:creationId xmlns:a16="http://schemas.microsoft.com/office/drawing/2014/main" id="{7E73D63C-B8A1-015A-43BA-B41E72CFC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1755774</xdr:colOff>
      <xdr:row>6</xdr:row>
      <xdr:rowOff>120650</xdr:rowOff>
    </xdr:from>
    <xdr:to>
      <xdr:col>27</xdr:col>
      <xdr:colOff>260349</xdr:colOff>
      <xdr:row>25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C63A07-4746-7F60-5EBC-0439CA675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8272</xdr:colOff>
      <xdr:row>49</xdr:row>
      <xdr:rowOff>8057</xdr:rowOff>
    </xdr:from>
    <xdr:to>
      <xdr:col>13</xdr:col>
      <xdr:colOff>456508</xdr:colOff>
      <xdr:row>64</xdr:row>
      <xdr:rowOff>29829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A41E7B-98F6-84BA-D0E5-FEA4A05C7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1048447</xdr:colOff>
      <xdr:row>19</xdr:row>
      <xdr:rowOff>58545</xdr:rowOff>
    </xdr:from>
    <xdr:to>
      <xdr:col>27</xdr:col>
      <xdr:colOff>175845</xdr:colOff>
      <xdr:row>40</xdr:row>
      <xdr:rowOff>93759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22CA15-0C38-7B91-7DB3-88CA8A66C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403411</xdr:colOff>
      <xdr:row>53</xdr:row>
      <xdr:rowOff>17930</xdr:rowOff>
    </xdr:from>
    <xdr:to>
      <xdr:col>20</xdr:col>
      <xdr:colOff>552823</xdr:colOff>
      <xdr:row>67</xdr:row>
      <xdr:rowOff>146424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3B7350-432A-5D4F-89A1-9B58BD05B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2157714</xdr:colOff>
      <xdr:row>74</xdr:row>
      <xdr:rowOff>75076</xdr:rowOff>
    </xdr:from>
    <xdr:to>
      <xdr:col>27</xdr:col>
      <xdr:colOff>108699</xdr:colOff>
      <xdr:row>89</xdr:row>
      <xdr:rowOff>47367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91EF03-43AE-5185-2BA9-B2378DE49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590554</xdr:colOff>
      <xdr:row>55</xdr:row>
      <xdr:rowOff>82068</xdr:rowOff>
    </xdr:from>
    <xdr:to>
      <xdr:col>34</xdr:col>
      <xdr:colOff>554805</xdr:colOff>
      <xdr:row>70</xdr:row>
      <xdr:rowOff>168519</xdr:rowOff>
    </xdr:to>
    <xdr:graphicFrame macro="">
      <xdr:nvGraphicFramePr>
        <xdr:cNvPr id="41" name="Chart 6">
          <a:extLst>
            <a:ext uri="{FF2B5EF4-FFF2-40B4-BE49-F238E27FC236}">
              <a16:creationId xmlns:a16="http://schemas.microsoft.com/office/drawing/2014/main" id="{E80604D3-B03E-0D4A-CB69-C929A0BFD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58963</xdr:colOff>
      <xdr:row>71</xdr:row>
      <xdr:rowOff>161471</xdr:rowOff>
    </xdr:from>
    <xdr:to>
      <xdr:col>34</xdr:col>
      <xdr:colOff>376463</xdr:colOff>
      <xdr:row>112</xdr:row>
      <xdr:rowOff>1814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857A2E-5AAF-0519-E87B-8E34280AB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277940</xdr:colOff>
      <xdr:row>117</xdr:row>
      <xdr:rowOff>120312</xdr:rowOff>
    </xdr:from>
    <xdr:to>
      <xdr:col>6</xdr:col>
      <xdr:colOff>1447255</xdr:colOff>
      <xdr:row>132</xdr:row>
      <xdr:rowOff>62040</xdr:rowOff>
    </xdr:to>
    <xdr:graphicFrame macro="">
      <xdr:nvGraphicFramePr>
        <xdr:cNvPr id="16" name="Chart 8">
          <a:extLst>
            <a:ext uri="{FF2B5EF4-FFF2-40B4-BE49-F238E27FC236}">
              <a16:creationId xmlns:a16="http://schemas.microsoft.com/office/drawing/2014/main" id="{DB1A2A71-0DA6-1D40-9163-C3CA4EAFB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346364</xdr:colOff>
      <xdr:row>123</xdr:row>
      <xdr:rowOff>152401</xdr:rowOff>
    </xdr:from>
    <xdr:to>
      <xdr:col>14</xdr:col>
      <xdr:colOff>372341</xdr:colOff>
      <xdr:row>138</xdr:row>
      <xdr:rowOff>38101</xdr:rowOff>
    </xdr:to>
    <xdr:graphicFrame macro="">
      <xdr:nvGraphicFramePr>
        <xdr:cNvPr id="21" name="Chart 9">
          <a:extLst>
            <a:ext uri="{FF2B5EF4-FFF2-40B4-BE49-F238E27FC236}">
              <a16:creationId xmlns:a16="http://schemas.microsoft.com/office/drawing/2014/main" id="{ED5449E2-F735-5447-A628-1A15B69B6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1626052</xdr:colOff>
      <xdr:row>23</xdr:row>
      <xdr:rowOff>57150</xdr:rowOff>
    </xdr:from>
    <xdr:to>
      <xdr:col>7</xdr:col>
      <xdr:colOff>632731</xdr:colOff>
      <xdr:row>37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4904D5-AFDA-A6DA-9655-C0395A557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594827</xdr:colOff>
      <xdr:row>0</xdr:row>
      <xdr:rowOff>134840</xdr:rowOff>
    </xdr:from>
    <xdr:to>
      <xdr:col>21</xdr:col>
      <xdr:colOff>550645</xdr:colOff>
      <xdr:row>16</xdr:row>
      <xdr:rowOff>175382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8CF13DA-9B39-AADF-0F23-47793F1B8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60683</xdr:colOff>
      <xdr:row>23</xdr:row>
      <xdr:rowOff>7220</xdr:rowOff>
    </xdr:from>
    <xdr:to>
      <xdr:col>14</xdr:col>
      <xdr:colOff>46857</xdr:colOff>
      <xdr:row>37</xdr:row>
      <xdr:rowOff>61912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795AEA2F-37F6-6941-9D0C-18E301C3E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95703</xdr:colOff>
      <xdr:row>8</xdr:row>
      <xdr:rowOff>66221</xdr:rowOff>
    </xdr:from>
    <xdr:to>
      <xdr:col>21</xdr:col>
      <xdr:colOff>451304</xdr:colOff>
      <xdr:row>23</xdr:row>
      <xdr:rowOff>47172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CE63E-02BB-54C3-9379-4B72ED008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482887</xdr:colOff>
      <xdr:row>10</xdr:row>
      <xdr:rowOff>32905</xdr:rowOff>
    </xdr:from>
    <xdr:to>
      <xdr:col>19</xdr:col>
      <xdr:colOff>111413</xdr:colOff>
      <xdr:row>28</xdr:row>
      <xdr:rowOff>64654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057C7-01FE-D427-5EFC-E2F4C3678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344715</xdr:colOff>
      <xdr:row>22</xdr:row>
      <xdr:rowOff>174485</xdr:rowOff>
    </xdr:from>
    <xdr:to>
      <xdr:col>19</xdr:col>
      <xdr:colOff>826289</xdr:colOff>
      <xdr:row>41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6615B-9BA0-425E-AA1F-2F952580F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519206</xdr:colOff>
      <xdr:row>22</xdr:row>
      <xdr:rowOff>139593</xdr:rowOff>
    </xdr:from>
    <xdr:to>
      <xdr:col>26</xdr:col>
      <xdr:colOff>213978</xdr:colOff>
      <xdr:row>37</xdr:row>
      <xdr:rowOff>81324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C8B37C-5AF3-4B21-AD75-8E5D7C1F3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267607</xdr:colOff>
      <xdr:row>39</xdr:row>
      <xdr:rowOff>107950</xdr:rowOff>
    </xdr:from>
    <xdr:to>
      <xdr:col>17</xdr:col>
      <xdr:colOff>146050</xdr:colOff>
      <xdr:row>54</xdr:row>
      <xdr:rowOff>129721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496758-8775-4898-881F-E38E4D8D1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140607</xdr:colOff>
      <xdr:row>7</xdr:row>
      <xdr:rowOff>57150</xdr:rowOff>
    </xdr:from>
    <xdr:to>
      <xdr:col>16</xdr:col>
      <xdr:colOff>176893</xdr:colOff>
      <xdr:row>22</xdr:row>
      <xdr:rowOff>78921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6C40D5-5150-4EB4-AC07-F20B63CEC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140607</xdr:colOff>
      <xdr:row>66</xdr:row>
      <xdr:rowOff>7256</xdr:rowOff>
    </xdr:from>
    <xdr:to>
      <xdr:col>19</xdr:col>
      <xdr:colOff>458107</xdr:colOff>
      <xdr:row>81</xdr:row>
      <xdr:rowOff>29028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4E37C1-6EA9-E1D4-0B28-A47A5EACE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nh Nguyen" id="{1BD0BB9D-73B7-401D-9F08-F9836AB8B89E}" userId="S::S3918855@rmit.edu.vn::88e07237-e05b-4c93-be92-7a1aa2e95926" providerId="AD"/>
</personList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34A90"/>
      </a:dk2>
      <a:lt2>
        <a:srgbClr val="F8F8F8"/>
      </a:lt2>
      <a:accent1>
        <a:srgbClr val="6B90CF"/>
      </a:accent1>
      <a:accent2>
        <a:srgbClr val="2992FA"/>
      </a:accent2>
      <a:accent3>
        <a:srgbClr val="91C6FB"/>
      </a:accent3>
      <a:accent4>
        <a:srgbClr val="92D050"/>
      </a:accent4>
      <a:accent5>
        <a:srgbClr val="00B050"/>
      </a:accent5>
      <a:accent6>
        <a:srgbClr val="034A90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2" dT="2023-12-13T07:58:48.77" personId="{1BD0BB9D-73B7-401D-9F08-F9836AB8B89E}" id="{9FDF3D92-ADED-4424-83A1-CC065E8475DF}">
    <text xml:space="preserve">Lao gdoan 1 
</text>
  </threadedComment>
  <threadedComment ref="O32" dT="2023-12-13T07:59:38.89" personId="{1BD0BB9D-73B7-401D-9F08-F9836AB8B89E}" id="{630AD8F4-69F0-4B64-B41D-25DC307AE7FF}">
    <text>Lao gd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C136-3FB5-48D3-B11F-559CDC7A3ADA}">
  <dimension ref="A1:AU319"/>
  <sheetViews>
    <sheetView tabSelected="1" topLeftCell="A66" zoomScale="40" zoomScaleNormal="40" workbookViewId="0">
      <selection activeCell="M13" sqref="M13"/>
    </sheetView>
  </sheetViews>
  <sheetFormatPr defaultColWidth="8.7265625" defaultRowHeight="25" customHeight="1" x14ac:dyDescent="0.35"/>
  <cols>
    <col min="1" max="1" width="36.453125" style="338" customWidth="1"/>
    <col min="2" max="5" width="24.26953125" style="338" customWidth="1"/>
    <col min="6" max="6" width="24.26953125" style="342" customWidth="1"/>
    <col min="7" max="11" width="23" style="338" customWidth="1"/>
    <col min="12" max="12" width="23" style="578" customWidth="1"/>
    <col min="13" max="13" width="38.26953125" style="578" customWidth="1"/>
    <col min="14" max="18" width="26.453125" style="578" customWidth="1"/>
    <col min="19" max="19" width="23" style="578" customWidth="1"/>
    <col min="20" max="20" width="17.1796875" style="289" customWidth="1"/>
    <col min="21" max="21" width="23.1796875" style="286" customWidth="1"/>
    <col min="22" max="22" width="62" style="286" customWidth="1"/>
    <col min="23" max="23" width="18.54296875" style="286" bestFit="1" customWidth="1"/>
    <col min="24" max="27" width="11.453125" style="286" bestFit="1" customWidth="1"/>
    <col min="28" max="28" width="8.7265625" style="286" bestFit="1" customWidth="1"/>
    <col min="29" max="29" width="22.1796875" style="286" bestFit="1" customWidth="1"/>
    <col min="30" max="31" width="21" style="286" bestFit="1" customWidth="1"/>
    <col min="32" max="32" width="21.7265625" style="286" bestFit="1" customWidth="1"/>
    <col min="33" max="33" width="22.81640625" style="286" bestFit="1" customWidth="1"/>
    <col min="34" max="34" width="21" style="286" bestFit="1" customWidth="1"/>
    <col min="35" max="36" width="15.81640625" style="286" bestFit="1" customWidth="1"/>
    <col min="37" max="38" width="15.453125" style="286" bestFit="1" customWidth="1"/>
    <col min="39" max="47" width="8.7265625" style="286" bestFit="1"/>
    <col min="48" max="16384" width="8.7265625" style="286"/>
  </cols>
  <sheetData>
    <row r="1" spans="1:47" s="281" customFormat="1" ht="56.5" customHeight="1" x14ac:dyDescent="0.35">
      <c r="A1" s="307" t="s">
        <v>0</v>
      </c>
      <c r="B1" s="463" t="s">
        <v>1</v>
      </c>
      <c r="C1" s="463"/>
      <c r="D1" s="463"/>
      <c r="E1" s="463"/>
      <c r="F1" s="463"/>
      <c r="G1" s="463" t="s">
        <v>2</v>
      </c>
      <c r="H1" s="463"/>
      <c r="I1" s="463"/>
      <c r="J1" s="463"/>
      <c r="K1" s="463"/>
      <c r="L1" s="564"/>
      <c r="M1" s="424" t="s">
        <v>3</v>
      </c>
      <c r="N1" s="424" t="s">
        <v>4</v>
      </c>
      <c r="O1" s="424" t="s">
        <v>5</v>
      </c>
      <c r="P1" s="424" t="s">
        <v>6</v>
      </c>
      <c r="Q1" s="424" t="s">
        <v>7</v>
      </c>
      <c r="R1" s="424" t="s">
        <v>8</v>
      </c>
      <c r="S1" s="564"/>
      <c r="T1" s="289"/>
      <c r="U1" s="281">
        <f>_xlfn.RRI(4,B3,F3)</f>
        <v>3.345302979565079E-2</v>
      </c>
      <c r="W1" s="291">
        <f>W3/W2</f>
        <v>2.4273205236868114E-2</v>
      </c>
      <c r="X1" s="291">
        <f t="shared" ref="X1:AA1" si="0">X3/X2</f>
        <v>9.7205902973719491E-2</v>
      </c>
      <c r="Y1" s="291">
        <f t="shared" si="0"/>
        <v>0.12549270757739675</v>
      </c>
      <c r="Z1" s="291">
        <f t="shared" si="0"/>
        <v>0.15525475439461456</v>
      </c>
      <c r="AA1" s="291">
        <f t="shared" si="0"/>
        <v>8.2279316115299872E-2</v>
      </c>
      <c r="AC1" s="294">
        <f>$AC$2*FCFE!G3</f>
        <v>5865.2682173533403</v>
      </c>
      <c r="AD1" s="294">
        <f>$AC$2*FCFE!H3</f>
        <v>5932.622348501417</v>
      </c>
      <c r="AE1" s="294">
        <f>$AC$2*FCFE!I3</f>
        <v>6008.2019977690352</v>
      </c>
      <c r="AF1" s="294">
        <f>$AC$2*FCFE!J3</f>
        <v>6092.1157178527865</v>
      </c>
      <c r="AG1" s="294">
        <f>$AC$2*FCFE!K3</f>
        <v>6184.5243222377057</v>
      </c>
    </row>
    <row r="2" spans="1:47" s="301" customFormat="1" ht="25" customHeight="1" thickBot="1" x14ac:dyDescent="0.4">
      <c r="A2" s="296" t="s">
        <v>3</v>
      </c>
      <c r="B2" s="296">
        <v>2018</v>
      </c>
      <c r="C2" s="296">
        <v>2019</v>
      </c>
      <c r="D2" s="296">
        <v>2020</v>
      </c>
      <c r="E2" s="296">
        <v>2021</v>
      </c>
      <c r="F2" s="296">
        <v>2022</v>
      </c>
      <c r="G2" s="296" t="s">
        <v>4</v>
      </c>
      <c r="H2" s="296" t="s">
        <v>5</v>
      </c>
      <c r="I2" s="296" t="s">
        <v>6</v>
      </c>
      <c r="J2" s="296" t="s">
        <v>7</v>
      </c>
      <c r="K2" s="296" t="s">
        <v>8</v>
      </c>
      <c r="L2" s="565"/>
      <c r="M2" s="425" t="s">
        <v>102</v>
      </c>
      <c r="N2" s="426">
        <f>G89</f>
        <v>11460.362365186556</v>
      </c>
      <c r="O2" s="426">
        <f>H89</f>
        <v>11477.489149209847</v>
      </c>
      <c r="P2" s="426">
        <f>I89</f>
        <v>11338.243432924224</v>
      </c>
      <c r="Q2" s="426">
        <f>J89</f>
        <v>11584.563712509269</v>
      </c>
      <c r="R2" s="426">
        <f>K89</f>
        <v>11885.685452146543</v>
      </c>
      <c r="S2" s="565"/>
      <c r="T2" s="289"/>
      <c r="U2" s="281"/>
      <c r="W2" s="393">
        <f>'BS IS'!J26</f>
        <v>52561950</v>
      </c>
      <c r="X2" s="393">
        <f>'BS IS'!K26</f>
        <v>56318123</v>
      </c>
      <c r="Y2" s="393">
        <f>'BS IS'!L26</f>
        <v>59636286</v>
      </c>
      <c r="Z2" s="393">
        <f>'BS IS'!M26</f>
        <v>60919165</v>
      </c>
      <c r="AA2" s="393">
        <f>'BS IS'!N26</f>
        <v>59956247</v>
      </c>
      <c r="AC2" s="394">
        <f>AVERAGE(W1:AA1)</f>
        <v>9.6901177259579752E-2</v>
      </c>
    </row>
    <row r="3" spans="1:47" s="281" customFormat="1" ht="77.5" customHeight="1" x14ac:dyDescent="0.35">
      <c r="A3" s="303" t="s">
        <v>9</v>
      </c>
      <c r="B3" s="303">
        <f t="shared" ref="B3:K3" si="1">SUM(B5,B12,B18,B25,B31,B34)</f>
        <v>52561.95</v>
      </c>
      <c r="C3" s="303">
        <f t="shared" si="1"/>
        <v>56318.123</v>
      </c>
      <c r="D3" s="303">
        <f t="shared" si="1"/>
        <v>59636.286</v>
      </c>
      <c r="E3" s="303">
        <f t="shared" si="1"/>
        <v>60919.165000000001</v>
      </c>
      <c r="F3" s="303">
        <f t="shared" si="1"/>
        <v>59956.247000000003</v>
      </c>
      <c r="G3" s="303">
        <f t="shared" si="1"/>
        <v>60528.348398094349</v>
      </c>
      <c r="H3" s="303">
        <f t="shared" si="1"/>
        <v>61223.42902614129</v>
      </c>
      <c r="I3" s="303">
        <f t="shared" si="1"/>
        <v>62003.395290794142</v>
      </c>
      <c r="J3" s="303">
        <f t="shared" si="1"/>
        <v>62869.367433309628</v>
      </c>
      <c r="K3" s="303">
        <f t="shared" si="1"/>
        <v>63823.005015414266</v>
      </c>
      <c r="L3" s="566"/>
      <c r="M3" s="425" t="s">
        <v>103</v>
      </c>
      <c r="N3" s="426">
        <f>CAPEX!L29</f>
        <v>-1932.7551020408162</v>
      </c>
      <c r="O3" s="426">
        <f>CAPEX!M29</f>
        <v>-2200.3673469387754</v>
      </c>
      <c r="P3" s="426">
        <f>CAPEX!N29</f>
        <v>-2319.3061224489793</v>
      </c>
      <c r="Q3" s="426">
        <f>CAPEX!O29</f>
        <v>-2557.1836734693875</v>
      </c>
      <c r="R3" s="426">
        <f>CAPEX!P29</f>
        <v>-2557.1836734693875</v>
      </c>
      <c r="S3" s="566"/>
      <c r="T3" s="289"/>
      <c r="V3" s="181" t="s">
        <v>10</v>
      </c>
      <c r="W3" s="150">
        <v>1275847</v>
      </c>
      <c r="X3" s="150">
        <v>5474454</v>
      </c>
      <c r="Y3" s="150">
        <v>7483919</v>
      </c>
      <c r="Z3" s="150">
        <v>9457990</v>
      </c>
      <c r="AA3" s="150">
        <v>4933159</v>
      </c>
      <c r="AC3" s="395">
        <f>X1/W1-1</f>
        <v>3.0046587183333857</v>
      </c>
      <c r="AD3" s="395">
        <f t="shared" ref="AD3:AG3" si="2">Y1/X1-1</f>
        <v>0.29099883585593411</v>
      </c>
      <c r="AE3" s="395">
        <f t="shared" si="2"/>
        <v>0.23716156413999023</v>
      </c>
      <c r="AF3" s="395">
        <f t="shared" si="2"/>
        <v>-0.47003673777249577</v>
      </c>
      <c r="AG3" s="395">
        <f t="shared" si="2"/>
        <v>-1</v>
      </c>
      <c r="AH3" s="395">
        <f>AVERAGE(AC3:AG3)</f>
        <v>0.41255647611136281</v>
      </c>
    </row>
    <row r="4" spans="1:47" s="305" customFormat="1" ht="25" customHeight="1" x14ac:dyDescent="0.35">
      <c r="A4" s="461" t="str">
        <f>'revenue breakdown'!T17</f>
        <v>Drinking Milk Products</v>
      </c>
      <c r="B4" s="461"/>
      <c r="C4" s="461"/>
      <c r="D4" s="461"/>
      <c r="E4" s="461"/>
      <c r="F4" s="461"/>
      <c r="G4" s="461"/>
      <c r="H4" s="461"/>
      <c r="I4" s="461"/>
      <c r="J4" s="461"/>
      <c r="K4" s="461"/>
      <c r="L4" s="567"/>
      <c r="M4" s="425" t="s">
        <v>104</v>
      </c>
      <c r="N4" s="426">
        <f>SUM(G97,G100)</f>
        <v>2486.2225204932265</v>
      </c>
      <c r="O4" s="426">
        <f>SUM(H97,H100)</f>
        <v>2642.6507810816283</v>
      </c>
      <c r="P4" s="426">
        <f>SUM(I97,I100)</f>
        <v>2809.9971011161433</v>
      </c>
      <c r="Q4" s="426">
        <f>SUM(J97,J100)</f>
        <v>2989.0235169552943</v>
      </c>
      <c r="R4" s="426">
        <f>SUM(K97,K100)</f>
        <v>3180.5452520110894</v>
      </c>
      <c r="S4" s="567"/>
      <c r="T4" s="289"/>
      <c r="U4" s="281"/>
      <c r="V4" s="304" t="s">
        <v>11</v>
      </c>
      <c r="W4" s="462" t="s">
        <v>12</v>
      </c>
      <c r="X4" s="1">
        <v>2018</v>
      </c>
      <c r="Y4" s="1">
        <v>2019</v>
      </c>
      <c r="Z4" s="1">
        <v>2020</v>
      </c>
      <c r="AA4" s="1">
        <v>2021</v>
      </c>
      <c r="AB4" s="1">
        <v>2022</v>
      </c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  <c r="AO4" s="301"/>
      <c r="AP4" s="301"/>
      <c r="AQ4" s="301"/>
      <c r="AR4" s="301"/>
      <c r="AS4" s="301"/>
      <c r="AT4" s="301"/>
      <c r="AU4" s="301"/>
    </row>
    <row r="5" spans="1:47" ht="25" customHeight="1" x14ac:dyDescent="0.35">
      <c r="A5" s="324" t="s">
        <v>13</v>
      </c>
      <c r="B5" s="325">
        <f>'revenue breakdown'!M18</f>
        <v>22610.49491097089</v>
      </c>
      <c r="C5" s="325">
        <f>'revenue breakdown'!N18</f>
        <v>25078.761399893556</v>
      </c>
      <c r="D5" s="325">
        <f>'revenue breakdown'!O18</f>
        <v>26708.310166984938</v>
      </c>
      <c r="E5" s="325">
        <f>'revenue breakdown'!P18</f>
        <v>27015.499627043584</v>
      </c>
      <c r="F5" s="325">
        <f>'revenue breakdown'!Q18</f>
        <v>25975.339980175617</v>
      </c>
      <c r="G5" s="325">
        <f>F5*(1+G6)</f>
        <v>26156.937299408415</v>
      </c>
      <c r="H5" s="325">
        <f>G5*(1+H6)</f>
        <v>26338.664264853298</v>
      </c>
      <c r="I5" s="325">
        <f>H5*(1+I6)</f>
        <v>26520.500206299643</v>
      </c>
      <c r="J5" s="325">
        <f>I5*(1+J6)</f>
        <v>26702.424147083308</v>
      </c>
      <c r="K5" s="325">
        <f>J5*(1+K6)</f>
        <v>26884.414804548302</v>
      </c>
      <c r="L5" s="568"/>
      <c r="M5" s="425" t="s">
        <v>106</v>
      </c>
      <c r="N5" s="426">
        <f>G126</f>
        <v>-2064.2973926816294</v>
      </c>
      <c r="O5" s="426">
        <f>H126</f>
        <v>-1856.990375666091</v>
      </c>
      <c r="P5" s="426">
        <f>I126</f>
        <v>-1048.6603440697281</v>
      </c>
      <c r="Q5" s="426">
        <f>J126</f>
        <v>-1053.6340225753984</v>
      </c>
      <c r="R5" s="426">
        <f>K126</f>
        <v>-1058.7471105166524</v>
      </c>
      <c r="S5" s="568"/>
      <c r="U5" s="281"/>
      <c r="V5" s="287">
        <f>AVERAGE(C8:F8)</f>
        <v>4.9981968518622577E-3</v>
      </c>
      <c r="W5" s="462"/>
      <c r="X5" s="82">
        <f>X6/100</f>
        <v>0.10800000000000001</v>
      </c>
      <c r="Y5" s="82">
        <f>Y6/100</f>
        <v>0.11699999999999999</v>
      </c>
      <c r="Z5" s="82">
        <f>Z6/100</f>
        <v>8.199999999999999E-2</v>
      </c>
      <c r="AA5" s="82">
        <f>AA6/100</f>
        <v>5.5999999999999994E-2</v>
      </c>
      <c r="AB5" s="82">
        <f>AB6/100</f>
        <v>3.6000000000000004E-2</v>
      </c>
      <c r="AC5" s="281"/>
      <c r="AD5" s="281"/>
      <c r="AE5" s="281"/>
      <c r="AF5" s="281"/>
      <c r="AG5" s="281"/>
      <c r="AH5" s="281"/>
      <c r="AI5" s="281"/>
      <c r="AJ5" s="281"/>
      <c r="AK5" s="281"/>
      <c r="AL5" s="281"/>
      <c r="AM5" s="281"/>
      <c r="AN5" s="281"/>
      <c r="AO5" s="281"/>
      <c r="AP5" s="281"/>
      <c r="AQ5" s="281"/>
      <c r="AR5" s="281"/>
      <c r="AS5" s="281"/>
      <c r="AT5" s="281"/>
      <c r="AU5" s="281"/>
    </row>
    <row r="6" spans="1:47" ht="25" customHeight="1" x14ac:dyDescent="0.35">
      <c r="A6" s="326" t="s">
        <v>14</v>
      </c>
      <c r="B6" s="327"/>
      <c r="C6" s="328">
        <f>C5/B5-1</f>
        <v>0.10916463786580066</v>
      </c>
      <c r="D6" s="328">
        <f>D5/C5-1</f>
        <v>6.4977242739679308E-2</v>
      </c>
      <c r="E6" s="328">
        <f>E5/D5-1</f>
        <v>1.1501643426261143E-2</v>
      </c>
      <c r="F6" s="328">
        <f>F5/E5-1</f>
        <v>-3.8502328708617584E-2</v>
      </c>
      <c r="G6" s="329">
        <f>((1+G8)*(1+G9)-1)*$B$7</f>
        <v>6.9911431138684407E-3</v>
      </c>
      <c r="H6" s="329">
        <f t="shared" ref="H6:J6" si="3">((1+H8)*(1+H9)-1)*$B$7</f>
        <v>6.947562834468274E-3</v>
      </c>
      <c r="I6" s="329">
        <f t="shared" si="3"/>
        <v>6.9037647322528657E-3</v>
      </c>
      <c r="J6" s="329">
        <f t="shared" si="3"/>
        <v>6.8597477185008294E-3</v>
      </c>
      <c r="K6" s="329">
        <f>((1+K8)*(1+K9)-1)*$B$7</f>
        <v>6.8155106990491583E-3</v>
      </c>
      <c r="L6" s="569"/>
      <c r="M6" s="425" t="s">
        <v>107</v>
      </c>
      <c r="N6" s="426">
        <f>AC6</f>
        <v>932.10921735334068</v>
      </c>
      <c r="O6" s="426">
        <f>AD6</f>
        <v>67.354131148076704</v>
      </c>
      <c r="P6" s="426">
        <f>AE6</f>
        <v>75.579649267618151</v>
      </c>
      <c r="Q6" s="426">
        <f>AF6</f>
        <v>83.913720083751286</v>
      </c>
      <c r="R6" s="426">
        <f>AG6</f>
        <v>92.408604384919272</v>
      </c>
      <c r="S6" s="569"/>
      <c r="U6" s="281"/>
      <c r="V6" s="291">
        <f>_xlfn.RRI(4,B5,F5)</f>
        <v>3.5291844820126261E-2</v>
      </c>
      <c r="W6" s="289">
        <f>AVERAGE(X5:AB5)</f>
        <v>7.980000000000001E-2</v>
      </c>
      <c r="X6" s="30">
        <v>10.8</v>
      </c>
      <c r="Y6" s="30">
        <v>11.7</v>
      </c>
      <c r="Z6" s="30">
        <v>8.1999999999999993</v>
      </c>
      <c r="AA6" s="30">
        <v>5.6</v>
      </c>
      <c r="AB6" s="30">
        <v>3.6</v>
      </c>
      <c r="AC6" s="407">
        <f>AC1-AA3/1000</f>
        <v>932.10921735334068</v>
      </c>
      <c r="AD6" s="407">
        <f>AD1-AC1</f>
        <v>67.354131148076704</v>
      </c>
      <c r="AE6" s="407">
        <f t="shared" ref="AE6:AG6" si="4">AE1-AD1</f>
        <v>75.579649267618151</v>
      </c>
      <c r="AF6" s="407">
        <f t="shared" si="4"/>
        <v>83.913720083751286</v>
      </c>
      <c r="AG6" s="407">
        <f t="shared" si="4"/>
        <v>92.408604384919272</v>
      </c>
      <c r="AH6" s="281"/>
      <c r="AI6" s="281"/>
      <c r="AJ6" s="281"/>
      <c r="AK6" s="281"/>
      <c r="AL6" s="281"/>
      <c r="AM6" s="281"/>
      <c r="AN6" s="281"/>
      <c r="AO6" s="281"/>
      <c r="AP6" s="281"/>
      <c r="AQ6" s="281"/>
      <c r="AR6" s="281"/>
      <c r="AS6" s="281"/>
      <c r="AT6" s="281"/>
      <c r="AU6" s="281"/>
    </row>
    <row r="7" spans="1:47" ht="25" customHeight="1" x14ac:dyDescent="0.35">
      <c r="A7" s="326"/>
      <c r="B7" s="347">
        <f>AVERAGE(C7:F7)</f>
        <v>0.21516331212968914</v>
      </c>
      <c r="C7" s="347">
        <f>C6/C9</f>
        <v>0.93132127940017928</v>
      </c>
      <c r="D7" s="347">
        <f t="shared" ref="D7:F7" si="5">D6/D9</f>
        <v>0.78895441298565949</v>
      </c>
      <c r="E7" s="347">
        <f t="shared" si="5"/>
        <v>0.20428940660387965</v>
      </c>
      <c r="F7" s="347">
        <f t="shared" si="5"/>
        <v>-1.0639118504709619</v>
      </c>
      <c r="G7" s="329"/>
      <c r="H7" s="329"/>
      <c r="I7" s="329"/>
      <c r="J7" s="329"/>
      <c r="K7" s="329"/>
      <c r="L7" s="569"/>
      <c r="M7" s="429" t="s">
        <v>108</v>
      </c>
      <c r="N7" s="430">
        <f>SUM(G126,G100,G97,G89,AC6,CAPEX!L29)</f>
        <v>10881.64160831068</v>
      </c>
      <c r="O7" s="430">
        <f>SUM(H126,H100,H97,H89,AD6,CAPEX!M29)</f>
        <v>10130.136338834685</v>
      </c>
      <c r="P7" s="430">
        <f>SUM(I126,I100,I97,I89,AE6,CAPEX!N29)</f>
        <v>10855.853716789277</v>
      </c>
      <c r="Q7" s="430">
        <f>SUM(J126,J100,J97,J89,AF6,CAPEX!O29)</f>
        <v>11046.683253503526</v>
      </c>
      <c r="R7" s="430">
        <f>SUM(K126,K100,K97,K89,AG6,CAPEX!P29)</f>
        <v>11542.708524556512</v>
      </c>
      <c r="S7" s="569"/>
      <c r="U7" s="281"/>
      <c r="V7" s="281" t="s">
        <v>15</v>
      </c>
      <c r="W7" s="281" t="s">
        <v>16</v>
      </c>
      <c r="X7" s="281"/>
      <c r="Y7" s="281"/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1"/>
      <c r="AT7" s="281"/>
      <c r="AU7" s="281"/>
    </row>
    <row r="8" spans="1:47" ht="25" customHeight="1" x14ac:dyDescent="0.35">
      <c r="A8" s="326" t="s">
        <v>17</v>
      </c>
      <c r="B8" s="326"/>
      <c r="C8" s="328">
        <f>'drinking milk'!C33/'drinking milk'!B33-1</f>
        <v>5.9602649006622599E-2</v>
      </c>
      <c r="D8" s="328">
        <f>'drinking milk'!D33/'drinking milk'!C33-1</f>
        <v>6.2499999999998668E-3</v>
      </c>
      <c r="E8" s="328">
        <f>'drinking milk'!E33/'drinking milk'!D33-1</f>
        <v>-8.2815734989647449E-3</v>
      </c>
      <c r="F8" s="328">
        <f>'drinking milk'!F33/'drinking milk'!E33-1</f>
        <v>-3.757828810020869E-2</v>
      </c>
      <c r="G8" s="329">
        <f>F8*(1+$V$5)</f>
        <v>-3.7766111781489524E-2</v>
      </c>
      <c r="H8" s="329">
        <f>G8*(1+$V$5)</f>
        <v>-3.7954874242502844E-2</v>
      </c>
      <c r="I8" s="329">
        <f>H8*(1+$V$5)</f>
        <v>-3.8144580175454544E-2</v>
      </c>
      <c r="J8" s="329">
        <f>I8*(1+$V$5)</f>
        <v>-3.8335234296003107E-2</v>
      </c>
      <c r="K8" s="329">
        <f>J8*(1+$V$5)</f>
        <v>-3.8526841343376791E-2</v>
      </c>
      <c r="L8" s="569"/>
      <c r="M8" s="432" t="s">
        <v>109</v>
      </c>
      <c r="N8" s="465">
        <f>CAPM!M5</f>
        <v>9.6952277172036666E-2</v>
      </c>
      <c r="O8" s="465"/>
      <c r="P8" s="465"/>
      <c r="Q8" s="465"/>
      <c r="R8" s="465"/>
      <c r="S8" s="569"/>
      <c r="U8" s="281"/>
      <c r="V8" s="281" t="s">
        <v>18</v>
      </c>
      <c r="W8" s="288" t="s">
        <v>19</v>
      </c>
      <c r="X8" s="1">
        <v>2018</v>
      </c>
      <c r="Y8" s="1">
        <v>2019</v>
      </c>
      <c r="Z8" s="1">
        <v>2020</v>
      </c>
      <c r="AA8" s="1">
        <v>2021</v>
      </c>
      <c r="AB8" s="1">
        <v>2022</v>
      </c>
      <c r="AC8" s="281"/>
      <c r="AD8" s="281"/>
      <c r="AE8" s="281"/>
      <c r="AF8" s="281"/>
      <c r="AG8" s="281"/>
      <c r="AH8" s="281"/>
      <c r="AI8" s="281"/>
      <c r="AJ8" s="281"/>
      <c r="AK8" s="281"/>
      <c r="AL8" s="281"/>
      <c r="AM8" s="281"/>
      <c r="AN8" s="281"/>
      <c r="AO8" s="281"/>
      <c r="AP8" s="281"/>
      <c r="AQ8" s="281"/>
      <c r="AR8" s="281"/>
      <c r="AS8" s="281"/>
      <c r="AT8" s="281"/>
      <c r="AU8" s="281"/>
    </row>
    <row r="9" spans="1:47" ht="25" customHeight="1" x14ac:dyDescent="0.35">
      <c r="A9" s="326" t="s">
        <v>20</v>
      </c>
      <c r="B9" s="329"/>
      <c r="C9" s="329">
        <f>'drinking milk'!G26/'drinking milk'!F26-1</f>
        <v>0.11721480039209298</v>
      </c>
      <c r="D9" s="329">
        <f>'drinking milk'!H26/'drinking milk'!G26-1</f>
        <v>8.2358678359861548E-2</v>
      </c>
      <c r="E9" s="329">
        <f>'drinking milk'!I26/'drinking milk'!H26-1</f>
        <v>5.6300733442155471E-2</v>
      </c>
      <c r="F9" s="329">
        <f>'drinking milk'!J26/'drinking milk'!I26-1</f>
        <v>3.6189397356156672E-2</v>
      </c>
      <c r="G9" s="329">
        <f>AVERAGE($C$9:$F$9)</f>
        <v>7.3015902387566667E-2</v>
      </c>
      <c r="H9" s="329">
        <f>AVERAGE($C$9:$F$9)</f>
        <v>7.3015902387566667E-2</v>
      </c>
      <c r="I9" s="329">
        <f>AVERAGE($C$9:$F$9)</f>
        <v>7.3015902387566667E-2</v>
      </c>
      <c r="J9" s="329">
        <f>AVERAGE($C$9:$F$9)</f>
        <v>7.3015902387566667E-2</v>
      </c>
      <c r="K9" s="329">
        <f>AVERAGE($C$9:$F$9)</f>
        <v>7.3015902387566667E-2</v>
      </c>
      <c r="L9" s="569"/>
      <c r="M9" s="432" t="s">
        <v>110</v>
      </c>
      <c r="N9" s="465">
        <v>2.6456159660860699E-2</v>
      </c>
      <c r="O9" s="465"/>
      <c r="P9" s="465"/>
      <c r="Q9" s="465"/>
      <c r="R9" s="465"/>
      <c r="S9" s="569"/>
      <c r="U9" s="281"/>
      <c r="V9" s="281"/>
      <c r="W9" s="289" t="e">
        <f>AVERAGE(#REF!)</f>
        <v>#REF!</v>
      </c>
      <c r="X9" s="281"/>
      <c r="Y9" s="281"/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</row>
    <row r="10" spans="1:47" s="305" customFormat="1" ht="25" customHeight="1" x14ac:dyDescent="0.35">
      <c r="A10" s="326" t="s">
        <v>21</v>
      </c>
      <c r="B10" s="328">
        <f t="shared" ref="B10:K10" si="6">B5/B3</f>
        <v>0.43016849471853486</v>
      </c>
      <c r="C10" s="328">
        <f t="shared" si="6"/>
        <v>0.44530534868666621</v>
      </c>
      <c r="D10" s="328">
        <f t="shared" si="6"/>
        <v>0.44785334497498619</v>
      </c>
      <c r="E10" s="328">
        <f t="shared" si="6"/>
        <v>0.44346470650153502</v>
      </c>
      <c r="F10" s="328">
        <f t="shared" si="6"/>
        <v>0.433238257560978</v>
      </c>
      <c r="G10" s="328">
        <f t="shared" si="6"/>
        <v>0.43214358216706156</v>
      </c>
      <c r="H10" s="328">
        <f t="shared" si="6"/>
        <v>0.4302056366951803</v>
      </c>
      <c r="I10" s="328">
        <f t="shared" si="6"/>
        <v>0.42772657984162415</v>
      </c>
      <c r="J10" s="328">
        <f t="shared" si="6"/>
        <v>0.42472869120893608</v>
      </c>
      <c r="K10" s="328">
        <f t="shared" si="6"/>
        <v>0.4212339233800616</v>
      </c>
      <c r="L10" s="570"/>
      <c r="M10" s="432" t="s">
        <v>111</v>
      </c>
      <c r="N10" s="466">
        <f>M17</f>
        <v>168067.18841392428</v>
      </c>
      <c r="O10" s="466"/>
      <c r="P10" s="466"/>
      <c r="Q10" s="466"/>
      <c r="R10" s="466"/>
      <c r="S10" s="570"/>
      <c r="T10" s="289"/>
      <c r="U10" s="281"/>
      <c r="V10" s="301"/>
      <c r="W10" s="301"/>
      <c r="X10" s="301"/>
      <c r="Y10" s="301"/>
      <c r="Z10" s="301"/>
      <c r="AA10" s="301"/>
      <c r="AB10" s="301"/>
      <c r="AC10" s="301"/>
      <c r="AD10" s="301">
        <v>66</v>
      </c>
      <c r="AE10" s="301">
        <v>4867</v>
      </c>
      <c r="AF10" s="301"/>
      <c r="AG10" s="301"/>
      <c r="AH10" s="301"/>
      <c r="AI10" s="301"/>
      <c r="AJ10" s="301"/>
      <c r="AK10" s="301"/>
      <c r="AL10" s="301"/>
      <c r="AM10" s="301"/>
      <c r="AN10" s="301"/>
      <c r="AO10" s="301"/>
      <c r="AP10" s="301"/>
      <c r="AQ10" s="301"/>
      <c r="AR10" s="301"/>
      <c r="AS10" s="301"/>
      <c r="AT10" s="301"/>
      <c r="AU10" s="301"/>
    </row>
    <row r="11" spans="1:47" s="422" customFormat="1" ht="25" customHeight="1" x14ac:dyDescent="0.35">
      <c r="A11" s="461" t="str">
        <f>'revenue breakdown'!T16</f>
        <v>Baby Food</v>
      </c>
      <c r="B11" s="461"/>
      <c r="C11" s="461"/>
      <c r="D11" s="461"/>
      <c r="E11" s="461"/>
      <c r="F11" s="461"/>
      <c r="G11" s="461"/>
      <c r="H11" s="461"/>
      <c r="I11" s="461"/>
      <c r="J11" s="461"/>
      <c r="K11" s="461"/>
      <c r="L11" s="567"/>
      <c r="M11" s="432" t="s">
        <v>31</v>
      </c>
      <c r="N11" s="431">
        <f>N7</f>
        <v>10881.64160831068</v>
      </c>
      <c r="O11" s="431">
        <f t="shared" ref="O11:Q11" si="7">O7</f>
        <v>10130.136338834685</v>
      </c>
      <c r="P11" s="431">
        <f t="shared" si="7"/>
        <v>10855.853716789277</v>
      </c>
      <c r="Q11" s="431">
        <f t="shared" si="7"/>
        <v>11046.683253503526</v>
      </c>
      <c r="R11" s="431">
        <f>R7+N10</f>
        <v>179609.89693848079</v>
      </c>
      <c r="S11" s="567"/>
      <c r="T11" s="289"/>
      <c r="U11" s="281"/>
      <c r="V11" s="294"/>
      <c r="W11" s="295" t="s">
        <v>22</v>
      </c>
      <c r="X11" s="294"/>
      <c r="Y11" s="294"/>
      <c r="Z11" s="294"/>
      <c r="AA11" s="294"/>
      <c r="AB11" s="294"/>
      <c r="AC11" s="294"/>
      <c r="AD11" s="294" t="s">
        <v>23</v>
      </c>
      <c r="AE11" s="291">
        <f>AD10/SUM(AD10:AE10)</f>
        <v>1.3379282383944861E-2</v>
      </c>
      <c r="AF11" s="294"/>
      <c r="AG11" s="294"/>
      <c r="AH11" s="294"/>
      <c r="AI11" s="294"/>
      <c r="AJ11" s="294"/>
      <c r="AK11" s="294"/>
      <c r="AL11" s="294"/>
      <c r="AM11" s="294"/>
      <c r="AN11" s="294"/>
      <c r="AO11" s="294"/>
      <c r="AP11" s="294"/>
      <c r="AQ11" s="294"/>
      <c r="AR11" s="294"/>
      <c r="AS11" s="294"/>
      <c r="AT11" s="294"/>
      <c r="AU11" s="294"/>
    </row>
    <row r="12" spans="1:47" ht="25" customHeight="1" x14ac:dyDescent="0.35">
      <c r="A12" s="325" t="s">
        <v>13</v>
      </c>
      <c r="B12" s="325">
        <f>'revenue breakdown'!M17</f>
        <v>6720.9928131646411</v>
      </c>
      <c r="C12" s="325">
        <f>'revenue breakdown'!N17</f>
        <v>6560.5624572777851</v>
      </c>
      <c r="D12" s="325">
        <f>'revenue breakdown'!O17</f>
        <v>6721.2421265471248</v>
      </c>
      <c r="E12" s="325">
        <f>'revenue breakdown'!P17</f>
        <v>6756.6950145952778</v>
      </c>
      <c r="F12" s="325">
        <f>'revenue breakdown'!Q17</f>
        <v>6912.1130713899711</v>
      </c>
      <c r="G12" s="325">
        <f>F12*(1+G13)</f>
        <v>6390.878019980476</v>
      </c>
      <c r="H12" s="325">
        <f t="shared" ref="H12:K12" si="8">G12*(1+H13)</f>
        <v>5901.1883373330693</v>
      </c>
      <c r="I12" s="325">
        <f t="shared" si="8"/>
        <v>5440.6045490591423</v>
      </c>
      <c r="J12" s="325">
        <f t="shared" si="8"/>
        <v>5007.1203623342253</v>
      </c>
      <c r="K12" s="325">
        <f t="shared" si="8"/>
        <v>4599.0822487867381</v>
      </c>
      <c r="L12" s="568"/>
      <c r="M12" s="432" t="str">
        <f>F176</f>
        <v>Equity value</v>
      </c>
      <c r="N12" s="466">
        <f>NPV(N8,N11:R11)</f>
        <v>147273.56289143034</v>
      </c>
      <c r="O12" s="466"/>
      <c r="P12" s="466"/>
      <c r="Q12" s="466"/>
      <c r="R12" s="466"/>
      <c r="S12" s="568"/>
      <c r="T12" s="289" t="s">
        <v>24</v>
      </c>
      <c r="U12" s="281"/>
      <c r="V12" s="281"/>
      <c r="W12" s="289">
        <f>AVERAGE(C14:F14)</f>
        <v>-5.0239106810510525E-2</v>
      </c>
      <c r="X12" s="282" t="s">
        <v>25</v>
      </c>
      <c r="Y12" s="281"/>
      <c r="Z12" s="281"/>
      <c r="AA12" s="281"/>
      <c r="AB12" s="281"/>
      <c r="AC12" s="413">
        <f>W3/B3</f>
        <v>24.273205236868115</v>
      </c>
      <c r="AD12" s="281"/>
      <c r="AE12" s="281"/>
      <c r="AF12" s="281"/>
      <c r="AG12" s="281"/>
      <c r="AH12" s="281"/>
      <c r="AI12" s="281"/>
      <c r="AJ12" s="281"/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</row>
    <row r="13" spans="1:47" ht="25" customHeight="1" x14ac:dyDescent="0.35">
      <c r="A13" s="326" t="s">
        <v>14</v>
      </c>
      <c r="B13" s="326"/>
      <c r="C13" s="328">
        <f>C12/B12-1</f>
        <v>-2.3870038303361318E-2</v>
      </c>
      <c r="D13" s="328">
        <f>D12/C12-1</f>
        <v>2.4491752089196961E-2</v>
      </c>
      <c r="E13" s="328">
        <f>E12/D12-1</f>
        <v>5.2747524015126501E-3</v>
      </c>
      <c r="F13" s="328">
        <f>F12/E12-1</f>
        <v>2.3002082594962614E-2</v>
      </c>
      <c r="G13" s="329">
        <f>(1+G14)*(1+G15)-1</f>
        <v>-7.5408930095045346E-2</v>
      </c>
      <c r="H13" s="329">
        <f>(1+H14)*(1+H15)-1</f>
        <v>-7.662322471441918E-2</v>
      </c>
      <c r="I13" s="329">
        <f>(1+I14)*(1+I15)-1</f>
        <v>-7.8049328702171072E-2</v>
      </c>
      <c r="J13" s="329">
        <f>(1+J14)*(1+J15)-1</f>
        <v>-7.9675738755885295E-2</v>
      </c>
      <c r="K13" s="329">
        <f>(1+K14)*(1+K15)-1</f>
        <v>-8.1491572804386792E-2</v>
      </c>
      <c r="L13" s="569"/>
      <c r="M13" s="432" t="s">
        <v>112</v>
      </c>
      <c r="N13" s="466">
        <v>2.09</v>
      </c>
      <c r="O13" s="466"/>
      <c r="P13" s="466"/>
      <c r="Q13" s="466"/>
      <c r="R13" s="466"/>
      <c r="S13" s="569"/>
      <c r="U13" s="281"/>
      <c r="V13" s="281" t="s">
        <v>26</v>
      </c>
      <c r="W13" s="289">
        <f>AVERAGE(C15:F15)</f>
        <v>-5.0887197769869941E-3</v>
      </c>
      <c r="X13" s="289">
        <f>AVERAGE(W13:W14)</f>
        <v>1.3455640111506503E-2</v>
      </c>
      <c r="Y13" s="281"/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</row>
    <row r="14" spans="1:47" ht="25" customHeight="1" x14ac:dyDescent="0.35">
      <c r="A14" s="326" t="s">
        <v>17</v>
      </c>
      <c r="B14" s="326"/>
      <c r="C14" s="328">
        <f>'baby food'!F8/'baby food'!E8-1</f>
        <v>-4.0816326530612734E-3</v>
      </c>
      <c r="D14" s="328">
        <f>'baby food'!G8/'baby food'!F8-1</f>
        <v>-4.9180327868852403E-2</v>
      </c>
      <c r="E14" s="328">
        <f>'baby food'!H8/'baby food'!G8-1</f>
        <v>-7.3275862068965525E-2</v>
      </c>
      <c r="F14" s="328">
        <f>'baby food'!I8/'baby food'!H8-1</f>
        <v>-7.4418604651162901E-2</v>
      </c>
      <c r="G14" s="329">
        <f>F14*(1+$W$12)</f>
        <v>-7.0679880423403965E-2</v>
      </c>
      <c r="H14" s="329">
        <f>G14*(1+$W$12)</f>
        <v>-6.7128986361458462E-2</v>
      </c>
      <c r="I14" s="329">
        <f>H14*(1+$W$12)</f>
        <v>-6.3756486045563845E-2</v>
      </c>
      <c r="J14" s="329">
        <f>I14*(1+$W$12)</f>
        <v>-6.0553417133257938E-2</v>
      </c>
      <c r="K14" s="329">
        <f>J14*(1+$W$12)</f>
        <v>-5.7511267542158788E-2</v>
      </c>
      <c r="L14" s="569"/>
      <c r="M14" s="432" t="s">
        <v>113</v>
      </c>
      <c r="N14" s="464">
        <f>N12/N13</f>
        <v>70465.819565277678</v>
      </c>
      <c r="O14" s="464"/>
      <c r="P14" s="464"/>
      <c r="Q14" s="464"/>
      <c r="R14" s="464"/>
      <c r="S14" s="569"/>
      <c r="U14" s="281"/>
      <c r="V14" s="281" t="s">
        <v>27</v>
      </c>
      <c r="W14" s="289">
        <v>3.2000000000000001E-2</v>
      </c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</row>
    <row r="15" spans="1:47" ht="25" customHeight="1" x14ac:dyDescent="0.35">
      <c r="A15" s="326" t="s">
        <v>20</v>
      </c>
      <c r="B15" s="326"/>
      <c r="C15" s="328">
        <f>'baby food'!Q45/'baby food'!P45-1</f>
        <v>-2.0491988809382411E-3</v>
      </c>
      <c r="D15" s="328">
        <f>'baby food'!R45/'baby food'!Q45-1</f>
        <v>3.356820999786958E-4</v>
      </c>
      <c r="E15" s="328">
        <f>'baby food'!S45/'baby food'!R45-1</f>
        <v>-1.8105634846015906E-2</v>
      </c>
      <c r="F15" s="328">
        <f>'baby food'!T45/'baby food'!S45-1</f>
        <v>-5.3572748097252543E-4</v>
      </c>
      <c r="G15" s="329">
        <f>AVERAGE(W13)</f>
        <v>-5.0887197769869941E-3</v>
      </c>
      <c r="H15" s="329">
        <f>G15+$W$13</f>
        <v>-1.0177439553973988E-2</v>
      </c>
      <c r="I15" s="329">
        <f>H15+$W$13</f>
        <v>-1.5266159330960982E-2</v>
      </c>
      <c r="J15" s="329">
        <f>I15+$W$13</f>
        <v>-2.0354879107947976E-2</v>
      </c>
      <c r="K15" s="329">
        <f>J15+$W$13</f>
        <v>-2.544359888493497E-2</v>
      </c>
      <c r="L15" s="569"/>
      <c r="M15" s="569"/>
      <c r="N15" s="569"/>
      <c r="O15" s="569"/>
      <c r="P15" s="569"/>
      <c r="Q15" s="569"/>
      <c r="R15" s="569"/>
      <c r="S15" s="569"/>
      <c r="T15" s="289">
        <f>G3/F3-1</f>
        <v>9.5419814734958308E-3</v>
      </c>
      <c r="U15" s="289">
        <f>H3/G3-1</f>
        <v>1.1483555167826509E-2</v>
      </c>
      <c r="V15" s="289">
        <f>I3/H3-1</f>
        <v>1.2739669715654545E-2</v>
      </c>
      <c r="W15" s="289">
        <f>J3/I3-1</f>
        <v>1.3966527775682414E-2</v>
      </c>
      <c r="X15" s="289">
        <f>K3/J3-1</f>
        <v>1.5168556978344627E-2</v>
      </c>
      <c r="Y15" s="281"/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1"/>
    </row>
    <row r="16" spans="1:47" s="305" customFormat="1" ht="25" customHeight="1" x14ac:dyDescent="0.35">
      <c r="A16" s="326" t="s">
        <v>21</v>
      </c>
      <c r="B16" s="328">
        <f t="shared" ref="B16:K16" si="9">B12/B3</f>
        <v>0.12786802645572778</v>
      </c>
      <c r="C16" s="328">
        <f t="shared" si="9"/>
        <v>0.11649114188833647</v>
      </c>
      <c r="D16" s="328">
        <f t="shared" si="9"/>
        <v>0.11270390189199785</v>
      </c>
      <c r="E16" s="328">
        <f t="shared" si="9"/>
        <v>0.11091246924666938</v>
      </c>
      <c r="F16" s="328">
        <f t="shared" si="9"/>
        <v>0.11528595296149825</v>
      </c>
      <c r="G16" s="328">
        <f t="shared" si="9"/>
        <v>0.10558487368509932</v>
      </c>
      <c r="H16" s="328">
        <f t="shared" si="9"/>
        <v>9.6387746181504627E-2</v>
      </c>
      <c r="I16" s="328">
        <f t="shared" si="9"/>
        <v>8.7746881014222899E-2</v>
      </c>
      <c r="J16" s="328">
        <f t="shared" si="9"/>
        <v>7.9643243868258468E-2</v>
      </c>
      <c r="K16" s="328">
        <f t="shared" si="9"/>
        <v>7.2059945276409146E-2</v>
      </c>
      <c r="L16" s="570"/>
      <c r="M16" s="605" t="s">
        <v>105</v>
      </c>
      <c r="N16" s="570"/>
      <c r="O16" s="570"/>
      <c r="P16" s="570"/>
      <c r="Q16" s="570"/>
      <c r="R16" s="570"/>
      <c r="S16" s="570"/>
      <c r="T16" s="289"/>
      <c r="U16" s="281"/>
      <c r="V16" s="444">
        <f>SUM(T15:X15)/5</f>
        <v>1.2580058222200785E-2</v>
      </c>
      <c r="W16" s="301"/>
      <c r="X16" s="301"/>
      <c r="Y16" s="301"/>
      <c r="Z16" s="301"/>
      <c r="AA16" s="301"/>
      <c r="AB16" s="301"/>
      <c r="AC16" s="301"/>
      <c r="AD16" s="301"/>
      <c r="AE16" s="301"/>
      <c r="AF16" s="301"/>
      <c r="AG16" s="301"/>
      <c r="AH16" s="301"/>
      <c r="AI16" s="301"/>
      <c r="AJ16" s="301"/>
      <c r="AK16" s="301"/>
      <c r="AL16" s="301"/>
      <c r="AM16" s="301"/>
      <c r="AN16" s="301"/>
      <c r="AO16" s="301"/>
      <c r="AP16" s="301"/>
      <c r="AQ16" s="301"/>
      <c r="AR16" s="301"/>
      <c r="AS16" s="301"/>
      <c r="AT16" s="301"/>
      <c r="AU16" s="301"/>
    </row>
    <row r="17" spans="1:47" s="344" customFormat="1" ht="25" customHeight="1" x14ac:dyDescent="0.35">
      <c r="A17" s="461" t="str">
        <f>'revenue breakdown'!T18</f>
        <v>Yoghurt and Sour Milk Products</v>
      </c>
      <c r="B17" s="461"/>
      <c r="C17" s="461"/>
      <c r="D17" s="461"/>
      <c r="E17" s="461"/>
      <c r="F17" s="461"/>
      <c r="G17" s="461"/>
      <c r="H17" s="461"/>
      <c r="I17" s="461"/>
      <c r="J17" s="461"/>
      <c r="K17" s="461"/>
      <c r="L17" s="567"/>
      <c r="M17" s="606">
        <f>R7*(1+N9)/(N8-N9)</f>
        <v>168067.18841392428</v>
      </c>
      <c r="N17" s="567"/>
      <c r="O17" s="567"/>
      <c r="P17" s="567"/>
      <c r="Q17" s="567"/>
      <c r="R17" s="567"/>
      <c r="S17" s="567"/>
      <c r="T17" s="343"/>
      <c r="U17" s="323">
        <v>1</v>
      </c>
      <c r="V17" s="287">
        <f>SUM(T18:X18)/5</f>
        <v>6.9035458196279095E-3</v>
      </c>
      <c r="W17" s="323"/>
      <c r="X17" s="323"/>
      <c r="Y17" s="323"/>
      <c r="Z17" s="323"/>
      <c r="AA17" s="323"/>
      <c r="AB17" s="323"/>
      <c r="AC17" s="323"/>
      <c r="AD17" s="323"/>
      <c r="AE17" s="323"/>
      <c r="AF17" s="323"/>
      <c r="AG17" s="323"/>
      <c r="AH17" s="323"/>
      <c r="AI17" s="323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</row>
    <row r="18" spans="1:47" ht="25" customHeight="1" x14ac:dyDescent="0.35">
      <c r="A18" s="324" t="s">
        <v>13</v>
      </c>
      <c r="B18" s="325">
        <f>'revenue breakdown'!M19</f>
        <v>11034.082048659928</v>
      </c>
      <c r="C18" s="325">
        <f>'revenue breakdown'!N19</f>
        <v>11732.844810173981</v>
      </c>
      <c r="D18" s="325">
        <f>'revenue breakdown'!O19</f>
        <v>12763.144326237656</v>
      </c>
      <c r="E18" s="325">
        <f>'revenue breakdown'!P19</f>
        <v>13328.998840893822</v>
      </c>
      <c r="F18" s="325">
        <f>'revenue breakdown'!Q19</f>
        <v>13525.039909262496</v>
      </c>
      <c r="G18" s="325">
        <f>F18*(1+G19)</f>
        <v>14014.491675354489</v>
      </c>
      <c r="H18" s="325">
        <f>G18*(1+H19)</f>
        <v>14527.033784471019</v>
      </c>
      <c r="I18" s="325">
        <f>H18*(1+I19)</f>
        <v>15063.749566003329</v>
      </c>
      <c r="J18" s="325">
        <f>I18*(1+J19)</f>
        <v>15625.777185562163</v>
      </c>
      <c r="K18" s="325">
        <f>J18*(1+K19)</f>
        <v>16214.312335786139</v>
      </c>
      <c r="L18" s="568"/>
      <c r="M18" s="606">
        <f>M17/(1+N8)^5</f>
        <v>105814.27597491952</v>
      </c>
      <c r="N18" s="568"/>
      <c r="O18" s="568"/>
      <c r="P18" s="568"/>
      <c r="Q18" s="568"/>
      <c r="R18" s="568"/>
      <c r="S18" s="568"/>
      <c r="T18" s="289">
        <f>G5/F5-1</f>
        <v>6.9911431138685032E-3</v>
      </c>
      <c r="U18" s="289">
        <f>H5/G5-1</f>
        <v>6.9475628344681795E-3</v>
      </c>
      <c r="V18" s="289">
        <f>I5/H5-1</f>
        <v>6.9037647322529594E-3</v>
      </c>
      <c r="W18" s="289">
        <f>J5/I5-1</f>
        <v>6.8597477185008415E-3</v>
      </c>
      <c r="X18" s="289">
        <f>K5/J5-1</f>
        <v>6.8155106990490655E-3</v>
      </c>
      <c r="Y18" s="281"/>
      <c r="Z18" s="28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</row>
    <row r="19" spans="1:47" ht="25" customHeight="1" x14ac:dyDescent="0.35">
      <c r="A19" s="326" t="s">
        <v>14</v>
      </c>
      <c r="B19" s="326"/>
      <c r="C19" s="328">
        <f>C18/B18-1</f>
        <v>6.3327674964943403E-2</v>
      </c>
      <c r="D19" s="328">
        <f>D18/C18-1</f>
        <v>8.7813273995601238E-2</v>
      </c>
      <c r="E19" s="328">
        <f>E18/D18-1</f>
        <v>4.4335040033428141E-2</v>
      </c>
      <c r="F19" s="328">
        <f>F18/E18-1</f>
        <v>1.4707861461223271E-2</v>
      </c>
      <c r="G19" s="329">
        <f>((1+G21)*(1+G22)-1)*$B$20</f>
        <v>3.6188563536644021E-2</v>
      </c>
      <c r="H19" s="329">
        <f t="shared" ref="H19:K19" si="10">((1+H21)*(1+H22)-1)*$B$20</f>
        <v>3.6572293950402283E-2</v>
      </c>
      <c r="I19" s="329">
        <f t="shared" si="10"/>
        <v>3.6945999403267302E-2</v>
      </c>
      <c r="J19" s="329">
        <f t="shared" si="10"/>
        <v>3.7309941797442576E-2</v>
      </c>
      <c r="K19" s="329">
        <f t="shared" si="10"/>
        <v>3.7664376192933849E-2</v>
      </c>
      <c r="L19" s="569"/>
      <c r="M19" s="606"/>
      <c r="N19" s="569"/>
      <c r="O19" s="569"/>
      <c r="P19" s="569"/>
      <c r="Q19" s="569"/>
      <c r="R19" s="569"/>
      <c r="S19" s="569"/>
      <c r="U19" s="281"/>
      <c r="V19" s="289">
        <f>AVERAGE(C21:F21)</f>
        <v>-2.6125009990934395E-2</v>
      </c>
      <c r="W19" s="281"/>
      <c r="X19" s="281"/>
      <c r="Y19" s="281"/>
      <c r="Z19" s="281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</row>
    <row r="20" spans="1:47" ht="25" customHeight="1" x14ac:dyDescent="0.35">
      <c r="A20" s="326"/>
      <c r="B20" s="347">
        <f>AVERAGE(C20:F20)</f>
        <v>0.46795308464898339</v>
      </c>
      <c r="C20" s="347">
        <f>C19/C22</f>
        <v>0.42605180943732174</v>
      </c>
      <c r="D20" s="347">
        <f t="shared" ref="D20" si="11">D19/D22</f>
        <v>0.75793487079492783</v>
      </c>
      <c r="E20" s="347">
        <f t="shared" ref="E20" si="12">E19/E22</f>
        <v>0.51248327948096661</v>
      </c>
      <c r="F20" s="347">
        <f t="shared" ref="F20" si="13">F19/F22</f>
        <v>0.17534237888271728</v>
      </c>
      <c r="G20" s="329"/>
      <c r="H20" s="329"/>
      <c r="I20" s="329"/>
      <c r="J20" s="329"/>
      <c r="K20" s="329"/>
      <c r="L20" s="569"/>
      <c r="M20" s="569"/>
      <c r="N20" s="569"/>
      <c r="O20" s="569"/>
      <c r="P20" s="569"/>
      <c r="Q20" s="569"/>
      <c r="R20" s="569"/>
      <c r="S20" s="569"/>
      <c r="U20" s="281"/>
      <c r="V20" s="289">
        <f>AVERAGE(C22:F22)</f>
        <v>0.10872201742258292</v>
      </c>
      <c r="W20" s="281"/>
      <c r="X20" s="281"/>
      <c r="Y20" s="281"/>
      <c r="Z20" s="28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  <c r="AM20" s="281"/>
      <c r="AN20" s="281"/>
      <c r="AO20" s="281"/>
      <c r="AP20" s="281"/>
      <c r="AQ20" s="281"/>
      <c r="AR20" s="281"/>
      <c r="AS20" s="281"/>
      <c r="AT20" s="281"/>
      <c r="AU20" s="281"/>
    </row>
    <row r="21" spans="1:47" ht="25" customHeight="1" x14ac:dyDescent="0.35">
      <c r="A21" s="326" t="s">
        <v>17</v>
      </c>
      <c r="B21" s="326"/>
      <c r="C21" s="328">
        <f>'yogurt and sour milk'!G62/'yogurt and sour milk'!F62-1</f>
        <v>-3.4111310592459754E-2</v>
      </c>
      <c r="D21" s="328">
        <f>'yogurt and sour milk'!H62/'yogurt and sour milk'!G62-1</f>
        <v>-2.0446096654274992E-2</v>
      </c>
      <c r="E21" s="328">
        <f>'yogurt and sour milk'!I62/'yogurt and sour milk'!H62-1</f>
        <v>-2.0872865275142316E-2</v>
      </c>
      <c r="F21" s="328">
        <f>'yogurt and sour milk'!J62/'yogurt and sour milk'!I62-1</f>
        <v>-2.9069767441860517E-2</v>
      </c>
      <c r="G21" s="329">
        <f>F21*(1+$V$19)</f>
        <v>-2.8310319477007771E-2</v>
      </c>
      <c r="H21" s="329">
        <f>G21*(1+$V$19)</f>
        <v>-2.7570712097824399E-2</v>
      </c>
      <c r="I21" s="329">
        <f>H21*(1+$V$19)</f>
        <v>-2.6850426968811562E-2</v>
      </c>
      <c r="J21" s="329">
        <f>I21*(1+$V$19)</f>
        <v>-2.6148959295990506E-2</v>
      </c>
      <c r="K21" s="329">
        <f>J21*(1+$V$19)</f>
        <v>-2.5465817473130217E-2</v>
      </c>
      <c r="L21" s="569"/>
      <c r="M21" s="569"/>
      <c r="N21" s="569"/>
      <c r="O21" s="569"/>
      <c r="P21" s="569"/>
      <c r="Q21" s="569"/>
      <c r="R21" s="569"/>
      <c r="S21" s="569"/>
      <c r="U21" s="281"/>
      <c r="V21" s="281"/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</row>
    <row r="22" spans="1:47" s="305" customFormat="1" ht="25" customHeight="1" x14ac:dyDescent="0.35">
      <c r="A22" s="326" t="s">
        <v>20</v>
      </c>
      <c r="B22" s="326"/>
      <c r="C22" s="328">
        <f>'yogurt and sour milk'!G59/'yogurt and sour milk'!F59-1</f>
        <v>0.14863843683372457</v>
      </c>
      <c r="D22" s="328">
        <f>'yogurt and sour milk'!H59/'yogurt and sour milk'!G59-1</f>
        <v>0.11585860128522918</v>
      </c>
      <c r="E22" s="328">
        <f>'yogurt and sour milk'!I59/'yogurt and sour milk'!H59-1</f>
        <v>8.6510217617889573E-2</v>
      </c>
      <c r="F22" s="328">
        <f>'yogurt and sour milk'!J59/'yogurt and sour milk'!I59-1</f>
        <v>8.3880813953488342E-2</v>
      </c>
      <c r="G22" s="329">
        <f>$V$20</f>
        <v>0.10872201742258292</v>
      </c>
      <c r="H22" s="329">
        <f>$V$20</f>
        <v>0.10872201742258292</v>
      </c>
      <c r="I22" s="329">
        <f>$V$20</f>
        <v>0.10872201742258292</v>
      </c>
      <c r="J22" s="329">
        <f>$V$20</f>
        <v>0.10872201742258292</v>
      </c>
      <c r="K22" s="329">
        <f>$V$20</f>
        <v>0.10872201742258292</v>
      </c>
      <c r="L22" s="569"/>
      <c r="M22" s="569"/>
      <c r="N22" s="569"/>
      <c r="O22" s="569"/>
      <c r="P22" s="569"/>
      <c r="Q22" s="569"/>
      <c r="R22" s="569"/>
      <c r="S22" s="569"/>
      <c r="T22" s="289">
        <f>G18/F18-1</f>
        <v>3.6188563536644125E-2</v>
      </c>
      <c r="U22" s="289">
        <f>H18/G18-1</f>
        <v>3.657229395040229E-2</v>
      </c>
      <c r="V22" s="289">
        <f>I18/H18-1</f>
        <v>3.694599940326726E-2</v>
      </c>
      <c r="W22" s="289">
        <f>J18/I18-1</f>
        <v>3.7309941797442514E-2</v>
      </c>
      <c r="X22" s="289">
        <f>K18/J18-1</f>
        <v>3.7664376192933835E-2</v>
      </c>
      <c r="Y22" s="301"/>
      <c r="Z22" s="301"/>
      <c r="AA22" s="301"/>
      <c r="AB22" s="301"/>
      <c r="AC22" s="301"/>
      <c r="AD22" s="301"/>
      <c r="AE22" s="301"/>
      <c r="AF22" s="301"/>
      <c r="AG22" s="301"/>
      <c r="AH22" s="301"/>
      <c r="AI22" s="301"/>
      <c r="AJ22" s="301"/>
      <c r="AK22" s="301"/>
      <c r="AL22" s="301"/>
      <c r="AM22" s="301"/>
      <c r="AN22" s="301"/>
      <c r="AO22" s="301"/>
      <c r="AP22" s="301"/>
      <c r="AQ22" s="301"/>
      <c r="AR22" s="301"/>
      <c r="AS22" s="301"/>
      <c r="AT22" s="301"/>
      <c r="AU22" s="301"/>
    </row>
    <row r="23" spans="1:47" ht="25" customHeight="1" x14ac:dyDescent="0.35">
      <c r="A23" s="326" t="s">
        <v>21</v>
      </c>
      <c r="B23" s="328">
        <f t="shared" ref="B23:K23" si="14">B18/B3</f>
        <v>0.20992527957314994</v>
      </c>
      <c r="C23" s="328">
        <f t="shared" si="14"/>
        <v>0.20833160242527937</v>
      </c>
      <c r="D23" s="328">
        <f t="shared" si="14"/>
        <v>0.21401641822962711</v>
      </c>
      <c r="E23" s="328">
        <f t="shared" si="14"/>
        <v>0.21879812109857091</v>
      </c>
      <c r="F23" s="328">
        <f t="shared" si="14"/>
        <v>0.22558182985106615</v>
      </c>
      <c r="G23" s="328">
        <f t="shared" si="14"/>
        <v>0.23153600001079355</v>
      </c>
      <c r="H23" s="328">
        <f t="shared" si="14"/>
        <v>0.23727899622002943</v>
      </c>
      <c r="I23" s="328">
        <f t="shared" si="14"/>
        <v>0.24295039804440993</v>
      </c>
      <c r="J23" s="328">
        <f t="shared" si="14"/>
        <v>0.24854357254568574</v>
      </c>
      <c r="K23" s="328">
        <f t="shared" si="14"/>
        <v>0.25405122074509223</v>
      </c>
      <c r="L23" s="570"/>
      <c r="M23" s="570"/>
      <c r="N23" s="570"/>
      <c r="O23" s="570"/>
      <c r="P23" s="570"/>
      <c r="Q23" s="570"/>
      <c r="R23" s="570"/>
      <c r="S23" s="570"/>
      <c r="U23" s="281"/>
      <c r="V23" s="291">
        <f>SUM(T22:X22)/5</f>
        <v>3.6936234976138002E-2</v>
      </c>
      <c r="W23" s="281"/>
      <c r="X23" s="281"/>
      <c r="Y23" s="281"/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1"/>
      <c r="AK23" s="281"/>
      <c r="AL23" s="281"/>
      <c r="AM23" s="281"/>
      <c r="AN23" s="281"/>
      <c r="AO23" s="281"/>
      <c r="AP23" s="281"/>
      <c r="AQ23" s="281"/>
      <c r="AR23" s="281"/>
      <c r="AS23" s="281"/>
      <c r="AT23" s="281"/>
      <c r="AU23" s="281"/>
    </row>
    <row r="24" spans="1:47" ht="25" customHeight="1" x14ac:dyDescent="0.35">
      <c r="A24" s="461" t="str">
        <f>'revenue breakdown'!T19</f>
        <v>Condensed milk</v>
      </c>
      <c r="B24" s="461"/>
      <c r="C24" s="461"/>
      <c r="D24" s="461"/>
      <c r="E24" s="461"/>
      <c r="F24" s="461"/>
      <c r="G24" s="461"/>
      <c r="H24" s="461"/>
      <c r="I24" s="461"/>
      <c r="J24" s="461"/>
      <c r="K24" s="461"/>
      <c r="L24" s="567"/>
      <c r="M24" s="567"/>
      <c r="N24" s="567"/>
      <c r="O24" s="567"/>
      <c r="P24" s="567"/>
      <c r="Q24" s="567"/>
      <c r="R24" s="567"/>
      <c r="S24" s="567"/>
      <c r="U24" s="281"/>
      <c r="V24" s="281"/>
      <c r="W24" s="281"/>
      <c r="X24" s="281"/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  <c r="AN24" s="281"/>
      <c r="AO24" s="281"/>
      <c r="AP24" s="281"/>
      <c r="AQ24" s="281"/>
      <c r="AR24" s="281"/>
      <c r="AS24" s="281"/>
      <c r="AT24" s="281"/>
      <c r="AU24" s="281"/>
    </row>
    <row r="25" spans="1:47" ht="25" customHeight="1" x14ac:dyDescent="0.35">
      <c r="A25" s="324" t="s">
        <v>13</v>
      </c>
      <c r="B25" s="325">
        <f>'revenue breakdown'!M20</f>
        <v>6642.0427505041298</v>
      </c>
      <c r="C25" s="325">
        <f>'revenue breakdown'!N20</f>
        <v>6822.8857545156197</v>
      </c>
      <c r="D25" s="325">
        <f>'revenue breakdown'!O20</f>
        <v>7298.1950856699314</v>
      </c>
      <c r="E25" s="325">
        <f>'revenue breakdown'!P20</f>
        <v>7294.6848471825779</v>
      </c>
      <c r="F25" s="325">
        <f>'revenue breakdown'!Q20</f>
        <v>7417.1671480160494</v>
      </c>
      <c r="G25" s="325">
        <f>F25*(1+G26)</f>
        <v>7884.1433270433436</v>
      </c>
      <c r="H25" s="325">
        <f>G25*(1+H26)</f>
        <v>8380.7059945007022</v>
      </c>
      <c r="I25" s="325">
        <f>H25*(1+I26)</f>
        <v>8908.7431290293898</v>
      </c>
      <c r="J25" s="325">
        <f>I25*(1+J26)</f>
        <v>9470.264160227478</v>
      </c>
      <c r="K25" s="325">
        <f>J25*(1+K26)</f>
        <v>10067.407852358614</v>
      </c>
      <c r="L25" s="568"/>
      <c r="M25" s="568"/>
      <c r="N25" s="568"/>
      <c r="O25" s="568"/>
      <c r="P25" s="568"/>
      <c r="Q25" s="568"/>
      <c r="R25" s="568"/>
      <c r="S25" s="568"/>
      <c r="U25" s="281"/>
      <c r="V25" s="289">
        <f>AVERAGE(C27:F27)</f>
        <v>9.0506365978993975E-3</v>
      </c>
      <c r="W25" s="281"/>
      <c r="X25" s="281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</row>
    <row r="26" spans="1:47" ht="25" customHeight="1" x14ac:dyDescent="0.35">
      <c r="A26" s="326" t="s">
        <v>14</v>
      </c>
      <c r="B26" s="326"/>
      <c r="C26" s="328">
        <f>C25/B25-1</f>
        <v>2.7227015965497037E-2</v>
      </c>
      <c r="D26" s="328">
        <f>D25/C25-1</f>
        <v>6.9663973317996009E-2</v>
      </c>
      <c r="E26" s="328">
        <f>E25/D25-1</f>
        <v>-4.8097350730536004E-4</v>
      </c>
      <c r="F26" s="328">
        <f>F25/E25-1</f>
        <v>1.6790622679302869E-2</v>
      </c>
      <c r="G26" s="329">
        <f>(1+G27)*(1+G28)-1</f>
        <v>6.2958831816565031E-2</v>
      </c>
      <c r="H26" s="329">
        <f>(1+H27)*(1+H28)-1</f>
        <v>6.2982450579519789E-2</v>
      </c>
      <c r="I26" s="329">
        <f>(1+I27)*(1+I28)-1</f>
        <v>6.3006283107315486E-2</v>
      </c>
      <c r="J26" s="329">
        <f>(1+J27)*(1+J28)-1</f>
        <v>6.3030331334658962E-2</v>
      </c>
      <c r="K26" s="329">
        <f>(1+K27)*(1+K28)-1</f>
        <v>6.3054597213769048E-2</v>
      </c>
      <c r="L26" s="569"/>
      <c r="M26" s="569"/>
      <c r="N26" s="569"/>
      <c r="O26" s="569"/>
      <c r="P26" s="569"/>
      <c r="Q26" s="569"/>
      <c r="R26" s="569"/>
      <c r="S26" s="569"/>
      <c r="U26" s="281"/>
      <c r="V26" s="289">
        <f>AVERAGE(C28:F28)</f>
        <v>6.0349207322261234E-2</v>
      </c>
      <c r="W26" s="281"/>
      <c r="X26" s="281"/>
      <c r="Y26" s="281"/>
      <c r="Z26" s="281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  <c r="AN26" s="281"/>
      <c r="AO26" s="281"/>
      <c r="AP26" s="281"/>
      <c r="AQ26" s="281"/>
      <c r="AR26" s="281"/>
      <c r="AS26" s="281"/>
      <c r="AT26" s="281"/>
      <c r="AU26" s="281"/>
    </row>
    <row r="27" spans="1:47" ht="25" customHeight="1" x14ac:dyDescent="0.35">
      <c r="A27" s="326" t="s">
        <v>17</v>
      </c>
      <c r="B27" s="326"/>
      <c r="C27" s="328">
        <f>'Condensed milk'!E7/'Condensed milk'!D7-1</f>
        <v>6.3051702395964249E-3</v>
      </c>
      <c r="D27" s="328">
        <f>'Condensed milk'!F7/'Condensed milk'!E7-1</f>
        <v>2.2556390977443552E-2</v>
      </c>
      <c r="E27" s="328">
        <f>'Condensed milk'!G7/'Condensed milk'!F7-1</f>
        <v>4.9019607843137081E-3</v>
      </c>
      <c r="F27" s="328">
        <f>'Condensed milk'!H7/'Condensed milk'!G7-1</f>
        <v>2.4390243902439046E-3</v>
      </c>
      <c r="G27" s="345">
        <f>F27*(1+$V$25)</f>
        <v>2.4610991136534157E-3</v>
      </c>
      <c r="H27" s="345">
        <f>G27*(1+$V$25)</f>
        <v>2.4833736273625054E-3</v>
      </c>
      <c r="I27" s="345">
        <f>H27*(1+$V$25)</f>
        <v>2.505849739600571E-3</v>
      </c>
      <c r="J27" s="345">
        <f>I27*(1+$V$25)</f>
        <v>2.5285292749626367E-3</v>
      </c>
      <c r="K27" s="345">
        <f>J27*(1+$V$25)</f>
        <v>2.551414074557474E-3</v>
      </c>
      <c r="L27" s="571"/>
      <c r="M27" s="571"/>
      <c r="N27" s="571"/>
      <c r="O27" s="571"/>
      <c r="P27" s="571"/>
      <c r="Q27" s="571"/>
      <c r="R27" s="571"/>
      <c r="S27" s="571"/>
      <c r="U27" s="281"/>
      <c r="V27" s="281"/>
      <c r="W27" s="281"/>
      <c r="X27" s="281"/>
      <c r="Y27" s="281"/>
      <c r="Z27" s="281"/>
      <c r="AA27" s="281"/>
      <c r="AB27" s="281"/>
      <c r="AC27" s="296">
        <v>2018</v>
      </c>
      <c r="AD27" s="296">
        <v>2019</v>
      </c>
      <c r="AE27" s="296">
        <v>2020</v>
      </c>
      <c r="AF27" s="296">
        <v>2021</v>
      </c>
      <c r="AG27" s="296">
        <v>2022</v>
      </c>
      <c r="AH27" s="296" t="s">
        <v>4</v>
      </c>
      <c r="AI27" s="296" t="s">
        <v>5</v>
      </c>
      <c r="AJ27" s="296" t="s">
        <v>6</v>
      </c>
      <c r="AK27" s="296" t="s">
        <v>7</v>
      </c>
      <c r="AL27" s="296" t="s">
        <v>8</v>
      </c>
      <c r="AM27" s="281"/>
      <c r="AN27" s="281"/>
      <c r="AO27" s="281"/>
      <c r="AP27" s="281"/>
      <c r="AQ27" s="281"/>
      <c r="AR27" s="281"/>
      <c r="AS27" s="281"/>
      <c r="AT27" s="281"/>
      <c r="AU27" s="281"/>
    </row>
    <row r="28" spans="1:47" s="305" customFormat="1" ht="25" customHeight="1" x14ac:dyDescent="0.35">
      <c r="A28" s="326" t="s">
        <v>20</v>
      </c>
      <c r="B28" s="326"/>
      <c r="C28" s="328">
        <f>'Condensed milk'!O71/'Condensed milk'!N71-1</f>
        <v>8.9482928387045302E-2</v>
      </c>
      <c r="D28" s="328">
        <f>'Condensed milk'!P71/'Condensed milk'!O71-1</f>
        <v>6.978590358944281E-2</v>
      </c>
      <c r="E28" s="328">
        <f>'Condensed milk'!Q71/'Condensed milk'!P71-1</f>
        <v>3.0093728950943532E-2</v>
      </c>
      <c r="F28" s="328">
        <f>'Condensed milk'!R71/'Condensed milk'!Q71-1</f>
        <v>5.2034268361613289E-2</v>
      </c>
      <c r="G28" s="329">
        <f>$V$26</f>
        <v>6.0349207322261234E-2</v>
      </c>
      <c r="H28" s="329">
        <f>$V$26</f>
        <v>6.0349207322261234E-2</v>
      </c>
      <c r="I28" s="329">
        <f>$V$26</f>
        <v>6.0349207322261234E-2</v>
      </c>
      <c r="J28" s="329">
        <f>$V$26</f>
        <v>6.0349207322261234E-2</v>
      </c>
      <c r="K28" s="329">
        <f>$V$26</f>
        <v>6.0349207322261234E-2</v>
      </c>
      <c r="L28" s="569"/>
      <c r="M28" s="569"/>
      <c r="N28" s="569"/>
      <c r="O28" s="569"/>
      <c r="P28" s="569"/>
      <c r="Q28" s="569"/>
      <c r="R28" s="569"/>
      <c r="S28" s="569"/>
      <c r="T28" s="289"/>
      <c r="U28" s="281"/>
      <c r="V28" s="301"/>
      <c r="W28" s="301"/>
      <c r="X28" s="301"/>
      <c r="Y28" s="301"/>
      <c r="Z28" s="301"/>
      <c r="AA28" s="301"/>
      <c r="AB28" s="281" t="s">
        <v>28</v>
      </c>
      <c r="AC28" s="294">
        <v>22610.49491097089</v>
      </c>
      <c r="AD28" s="294">
        <v>25078.761399893556</v>
      </c>
      <c r="AE28" s="294">
        <v>26708.310166984938</v>
      </c>
      <c r="AF28" s="294">
        <v>27015.499627043584</v>
      </c>
      <c r="AG28" s="294">
        <v>25975.339980175617</v>
      </c>
      <c r="AH28" s="294">
        <v>26156.937299408415</v>
      </c>
      <c r="AI28" s="294">
        <v>26338.664264853298</v>
      </c>
      <c r="AJ28" s="294">
        <v>26520.500206299643</v>
      </c>
      <c r="AK28" s="294">
        <v>26702.424147083308</v>
      </c>
      <c r="AL28" s="294">
        <v>26884.414804548302</v>
      </c>
      <c r="AM28" s="301"/>
      <c r="AN28" s="301"/>
      <c r="AO28" s="301"/>
      <c r="AP28" s="301"/>
      <c r="AQ28" s="301"/>
      <c r="AR28" s="301"/>
      <c r="AS28" s="301"/>
      <c r="AT28" s="301"/>
      <c r="AU28" s="301"/>
    </row>
    <row r="29" spans="1:47" ht="25" customHeight="1" x14ac:dyDescent="0.35">
      <c r="A29" s="326" t="s">
        <v>21</v>
      </c>
      <c r="B29" s="328">
        <f t="shared" ref="B29:K29" si="15">B25/B3</f>
        <v>0.12636598814359304</v>
      </c>
      <c r="C29" s="328">
        <f t="shared" si="15"/>
        <v>0.12114902612282763</v>
      </c>
      <c r="D29" s="328">
        <f t="shared" si="15"/>
        <v>0.12237843056943437</v>
      </c>
      <c r="E29" s="328">
        <f t="shared" si="15"/>
        <v>0.11974367749759172</v>
      </c>
      <c r="F29" s="328">
        <f t="shared" si="15"/>
        <v>0.12370966361547028</v>
      </c>
      <c r="G29" s="328">
        <f t="shared" si="15"/>
        <v>0.13025538505014891</v>
      </c>
      <c r="H29" s="328">
        <f t="shared" si="15"/>
        <v>0.13688723627228219</v>
      </c>
      <c r="I29" s="328">
        <f t="shared" si="15"/>
        <v>0.14368153691015856</v>
      </c>
      <c r="J29" s="328">
        <f t="shared" si="15"/>
        <v>0.15063399787302323</v>
      </c>
      <c r="K29" s="328">
        <f t="shared" si="15"/>
        <v>0.15773948359102138</v>
      </c>
      <c r="L29" s="570"/>
      <c r="M29" s="570"/>
      <c r="N29" s="570"/>
      <c r="O29" s="570"/>
      <c r="P29" s="570"/>
      <c r="Q29" s="570"/>
      <c r="R29" s="570"/>
      <c r="S29" s="570"/>
      <c r="U29" s="281"/>
      <c r="V29" s="289">
        <f>AVERAGE(cheese!E23,'plant-based dairy'!E26)</f>
        <v>-3.73290443238713E-3</v>
      </c>
      <c r="W29" s="281"/>
      <c r="X29" s="281"/>
      <c r="Y29" s="281"/>
      <c r="Z29" s="281"/>
      <c r="AA29" s="281"/>
      <c r="AM29" s="281"/>
      <c r="AN29" s="281"/>
      <c r="AO29" s="281"/>
      <c r="AP29" s="281"/>
      <c r="AQ29" s="281"/>
      <c r="AR29" s="281"/>
      <c r="AS29" s="281"/>
      <c r="AT29" s="281"/>
      <c r="AU29" s="281"/>
    </row>
    <row r="30" spans="1:47" ht="25" customHeight="1" x14ac:dyDescent="0.35">
      <c r="A30" s="461" t="str">
        <f>'revenue breakdown'!T20</f>
        <v>Plant-based and other dairy</v>
      </c>
      <c r="B30" s="461"/>
      <c r="C30" s="461"/>
      <c r="D30" s="461"/>
      <c r="E30" s="461"/>
      <c r="F30" s="461"/>
      <c r="G30" s="461"/>
      <c r="H30" s="461"/>
      <c r="I30" s="461"/>
      <c r="J30" s="461"/>
      <c r="K30" s="461"/>
      <c r="L30" s="567"/>
      <c r="M30" s="567"/>
      <c r="N30" s="567"/>
      <c r="O30" s="567"/>
      <c r="P30" s="567"/>
      <c r="Q30" s="567"/>
      <c r="R30" s="567"/>
      <c r="S30" s="567"/>
      <c r="U30" s="281"/>
      <c r="V30" s="281"/>
      <c r="W30" s="281"/>
      <c r="X30" s="281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</row>
    <row r="31" spans="1:47" s="305" customFormat="1" ht="25" customHeight="1" x14ac:dyDescent="0.35">
      <c r="A31" s="324" t="s">
        <v>13</v>
      </c>
      <c r="B31" s="325">
        <f>'revenue breakdown'!M21</f>
        <v>1612.1912267004036</v>
      </c>
      <c r="C31" s="325">
        <f>'revenue breakdown'!N21</f>
        <v>1617.6187381390573</v>
      </c>
      <c r="D31" s="325">
        <f>'revenue breakdown'!O21</f>
        <v>1672.6728445603449</v>
      </c>
      <c r="E31" s="325">
        <f>'revenue breakdown'!P21</f>
        <v>1649.7534702847379</v>
      </c>
      <c r="F31" s="325">
        <f>'revenue breakdown'!Q21</f>
        <v>1629.8683661558553</v>
      </c>
      <c r="G31" s="325">
        <f>F31*(1+$V$29)</f>
        <v>1623.7842233076244</v>
      </c>
      <c r="H31" s="325">
        <f>G31*(1+$V$29)</f>
        <v>1617.7227919831989</v>
      </c>
      <c r="I31" s="325">
        <f>H31*(1+$V$29)</f>
        <v>1611.6839874026311</v>
      </c>
      <c r="J31" s="325">
        <f>I31*(1+$V$29)</f>
        <v>1605.6677251024485</v>
      </c>
      <c r="K31" s="325">
        <f>J31*(1+$V$29)</f>
        <v>1599.6739209344726</v>
      </c>
      <c r="L31" s="568"/>
      <c r="M31" s="568"/>
      <c r="N31" s="568"/>
      <c r="O31" s="568"/>
      <c r="P31" s="568"/>
      <c r="Q31" s="568"/>
      <c r="R31" s="568"/>
      <c r="S31" s="568"/>
      <c r="T31" s="289">
        <f>G25/F25-1</f>
        <v>6.2958831816565031E-2</v>
      </c>
      <c r="U31" s="289">
        <f>H25/G25-1</f>
        <v>6.2982450579519789E-2</v>
      </c>
      <c r="V31" s="289">
        <f>I25/H25-1</f>
        <v>6.3006283107315486E-2</v>
      </c>
      <c r="W31" s="289">
        <f>J25/I25-1</f>
        <v>6.3030331334658962E-2</v>
      </c>
      <c r="X31" s="289">
        <f>K25/J25-1</f>
        <v>6.3054597213769048E-2</v>
      </c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01"/>
      <c r="AQ31" s="301"/>
      <c r="AR31" s="301"/>
      <c r="AS31" s="301"/>
      <c r="AT31" s="301"/>
      <c r="AU31" s="301"/>
    </row>
    <row r="32" spans="1:47" ht="25" customHeight="1" x14ac:dyDescent="0.35">
      <c r="A32" s="326" t="s">
        <v>21</v>
      </c>
      <c r="B32" s="328">
        <f t="shared" ref="B32:K32" si="16">B31/B3</f>
        <v>3.0672211108994315E-2</v>
      </c>
      <c r="C32" s="328">
        <f t="shared" si="16"/>
        <v>2.8722880876890327E-2</v>
      </c>
      <c r="D32" s="328">
        <f t="shared" si="16"/>
        <v>2.8047904333954411E-2</v>
      </c>
      <c r="E32" s="328">
        <f t="shared" si="16"/>
        <v>2.7081025655632966E-2</v>
      </c>
      <c r="F32" s="328">
        <f t="shared" si="16"/>
        <v>2.7184296010987066E-2</v>
      </c>
      <c r="G32" s="328">
        <f t="shared" si="16"/>
        <v>2.6826838436562181E-2</v>
      </c>
      <c r="H32" s="328">
        <f t="shared" si="16"/>
        <v>2.6423263409379779E-2</v>
      </c>
      <c r="I32" s="328">
        <f t="shared" si="16"/>
        <v>2.5993479548077642E-2</v>
      </c>
      <c r="J32" s="328">
        <f t="shared" si="16"/>
        <v>2.5539746790131199E-2</v>
      </c>
      <c r="K32" s="328">
        <f t="shared" si="16"/>
        <v>2.5064221287420203E-2</v>
      </c>
      <c r="L32" s="570"/>
      <c r="M32" s="570"/>
      <c r="N32" s="570"/>
      <c r="O32" s="570"/>
      <c r="P32" s="570"/>
      <c r="Q32" s="570"/>
      <c r="R32" s="570"/>
      <c r="S32" s="570"/>
      <c r="U32" s="281"/>
      <c r="V32" s="281">
        <f>SUM(T31:X31)/5</f>
        <v>6.3006498810365658E-2</v>
      </c>
      <c r="W32" s="281"/>
      <c r="X32" s="281"/>
      <c r="Y32" s="281"/>
      <c r="Z32" s="281"/>
      <c r="AA32" s="281"/>
      <c r="AB32" s="281"/>
      <c r="AC32" s="281"/>
      <c r="AD32" s="281"/>
      <c r="AE32" s="296">
        <v>2018</v>
      </c>
      <c r="AF32" s="296">
        <v>2019</v>
      </c>
      <c r="AG32" s="296">
        <v>2020</v>
      </c>
      <c r="AH32" s="296">
        <v>2021</v>
      </c>
      <c r="AI32" s="296">
        <v>2022</v>
      </c>
      <c r="AJ32" s="296" t="s">
        <v>4</v>
      </c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</row>
    <row r="33" spans="1:47" ht="25" customHeight="1" x14ac:dyDescent="0.35">
      <c r="A33" s="461" t="s">
        <v>29</v>
      </c>
      <c r="B33" s="461"/>
      <c r="C33" s="461"/>
      <c r="D33" s="461"/>
      <c r="E33" s="461"/>
      <c r="F33" s="461"/>
      <c r="G33" s="461"/>
      <c r="H33" s="461"/>
      <c r="I33" s="461"/>
      <c r="J33" s="461"/>
      <c r="K33" s="461"/>
      <c r="L33" s="567"/>
      <c r="M33" s="567"/>
      <c r="N33" s="567"/>
      <c r="O33" s="567"/>
      <c r="P33" s="567"/>
      <c r="Q33" s="567"/>
      <c r="R33" s="567"/>
      <c r="S33" s="567"/>
      <c r="U33" s="281"/>
      <c r="V33" s="281"/>
      <c r="W33" s="281"/>
      <c r="X33" s="281"/>
      <c r="Y33" s="281"/>
      <c r="Z33" s="281"/>
      <c r="AA33" s="281"/>
      <c r="AB33" s="281"/>
      <c r="AC33" s="281"/>
      <c r="AD33" s="281" t="s">
        <v>30</v>
      </c>
      <c r="AE33" s="281">
        <v>31</v>
      </c>
      <c r="AF33" s="281">
        <v>32</v>
      </c>
      <c r="AG33" s="281">
        <v>34</v>
      </c>
      <c r="AH33" s="281">
        <v>37</v>
      </c>
      <c r="AI33" s="281">
        <v>39</v>
      </c>
      <c r="AJ33" s="281">
        <v>42</v>
      </c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</row>
    <row r="34" spans="1:47" ht="25" customHeight="1" x14ac:dyDescent="0.35">
      <c r="A34" s="324" t="s">
        <v>13</v>
      </c>
      <c r="B34" s="346">
        <f>'revenue breakdown'!M22</f>
        <v>3942.1462500000052</v>
      </c>
      <c r="C34" s="346">
        <f>'revenue breakdown'!N22</f>
        <v>4505.4498400000011</v>
      </c>
      <c r="D34" s="346">
        <f>'revenue breakdown'!O22</f>
        <v>4472.7214500000046</v>
      </c>
      <c r="E34" s="346">
        <f>'revenue breakdown'!P22</f>
        <v>4873.533199999998</v>
      </c>
      <c r="F34" s="346">
        <f>'revenue breakdown'!Q22</f>
        <v>4496.7185250000184</v>
      </c>
      <c r="G34" s="325">
        <f>AVERAGE($B$34:$F$34)</f>
        <v>4458.1138530000053</v>
      </c>
      <c r="H34" s="325">
        <f>AVERAGE($B$34:$F$34)</f>
        <v>4458.1138530000053</v>
      </c>
      <c r="I34" s="325">
        <f>AVERAGE($B$34:$F$34)</f>
        <v>4458.1138530000053</v>
      </c>
      <c r="J34" s="325">
        <f>AVERAGE($B$34:$F$34)</f>
        <v>4458.1138530000053</v>
      </c>
      <c r="K34" s="325">
        <f>AVERAGE($B$34:$F$34)</f>
        <v>4458.1138530000053</v>
      </c>
      <c r="L34" s="568"/>
      <c r="M34" s="568"/>
      <c r="N34" s="568"/>
      <c r="O34" s="568"/>
      <c r="P34" s="568"/>
      <c r="Q34" s="568"/>
      <c r="R34" s="568"/>
      <c r="S34" s="568"/>
      <c r="T34" s="289">
        <f>G34/F34-1</f>
        <v>-8.5850763807843178E-3</v>
      </c>
      <c r="U34" s="289">
        <f>H34/G34-1</f>
        <v>0</v>
      </c>
      <c r="V34" s="289">
        <f>I34/H34-1</f>
        <v>0</v>
      </c>
      <c r="W34" s="289">
        <f>J34/I34-1</f>
        <v>0</v>
      </c>
      <c r="X34" s="289">
        <f>K34/J34-1</f>
        <v>0</v>
      </c>
      <c r="Y34" s="281"/>
      <c r="Z34" s="281"/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/>
    </row>
    <row r="35" spans="1:47" ht="25" customHeight="1" x14ac:dyDescent="0.35">
      <c r="A35" s="326" t="s">
        <v>14</v>
      </c>
      <c r="B35" s="326"/>
      <c r="C35" s="328">
        <f>C34/B34-1</f>
        <v>0.14289261591956293</v>
      </c>
      <c r="D35" s="328">
        <f t="shared" ref="D35:F35" si="17">D34/C34-1</f>
        <v>-7.2641780870423833E-3</v>
      </c>
      <c r="E35" s="328">
        <f t="shared" si="17"/>
        <v>8.9612499790254763E-2</v>
      </c>
      <c r="F35" s="328">
        <f t="shared" si="17"/>
        <v>-7.7318581722184643E-2</v>
      </c>
      <c r="G35" s="329">
        <f>$V$41</f>
        <v>3.6980588975147666E-2</v>
      </c>
      <c r="H35" s="329">
        <f>$V$41</f>
        <v>3.6980588975147666E-2</v>
      </c>
      <c r="I35" s="329">
        <f>$V$41</f>
        <v>3.6980588975147666E-2</v>
      </c>
      <c r="J35" s="329">
        <f>$V$41</f>
        <v>3.6980588975147666E-2</v>
      </c>
      <c r="K35" s="329">
        <f>$V$41</f>
        <v>3.6980588975147666E-2</v>
      </c>
      <c r="L35" s="569"/>
      <c r="M35" s="569"/>
      <c r="N35" s="569"/>
      <c r="O35" s="569"/>
      <c r="P35" s="569"/>
      <c r="Q35" s="569"/>
      <c r="R35" s="569"/>
      <c r="S35" s="569"/>
      <c r="U35" s="281"/>
      <c r="V35" s="281">
        <f>SUM(T34:X34)/5</f>
        <v>-1.7170152761568636E-3</v>
      </c>
      <c r="W35" s="281"/>
      <c r="X35" s="281"/>
      <c r="Y35" s="281"/>
      <c r="Z35" s="281"/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</row>
    <row r="36" spans="1:47" ht="25" customHeight="1" x14ac:dyDescent="0.35">
      <c r="A36" s="326" t="s">
        <v>21</v>
      </c>
      <c r="B36" s="328">
        <f t="shared" ref="B36:K36" si="18">B34/B3</f>
        <v>7.5000000000000108E-2</v>
      </c>
      <c r="C36" s="328">
        <f t="shared" si="18"/>
        <v>8.0000000000000016E-2</v>
      </c>
      <c r="D36" s="328">
        <f t="shared" si="18"/>
        <v>7.500000000000008E-2</v>
      </c>
      <c r="E36" s="328">
        <f t="shared" si="18"/>
        <v>7.999999999999996E-2</v>
      </c>
      <c r="F36" s="328">
        <f t="shared" si="18"/>
        <v>7.5000000000000303E-2</v>
      </c>
      <c r="G36" s="328">
        <f t="shared" si="18"/>
        <v>7.3653320650334531E-2</v>
      </c>
      <c r="H36" s="328">
        <f t="shared" si="18"/>
        <v>7.2817121221623704E-2</v>
      </c>
      <c r="I36" s="328">
        <f t="shared" si="18"/>
        <v>7.1901124641506803E-2</v>
      </c>
      <c r="J36" s="328">
        <f t="shared" si="18"/>
        <v>7.09107477139653E-2</v>
      </c>
      <c r="K36" s="328">
        <f t="shared" si="18"/>
        <v>6.9851205719995479E-2</v>
      </c>
      <c r="L36" s="570"/>
      <c r="M36" s="570"/>
      <c r="N36" s="570"/>
      <c r="O36" s="570"/>
      <c r="P36" s="570"/>
      <c r="Q36" s="570"/>
      <c r="R36" s="570"/>
      <c r="S36" s="570"/>
      <c r="U36" s="281"/>
      <c r="V36" s="281"/>
      <c r="W36" s="281"/>
      <c r="X36" s="281"/>
      <c r="Y36" s="281"/>
      <c r="Z36" s="281"/>
      <c r="AA36" s="281"/>
      <c r="AB36" s="281"/>
      <c r="AC36" s="281"/>
      <c r="AD36" s="281"/>
      <c r="AE36" s="281"/>
      <c r="AF36" s="281"/>
      <c r="AG36" s="281"/>
      <c r="AH36" s="281"/>
      <c r="AI36" s="281"/>
      <c r="AJ36" s="281"/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</row>
    <row r="37" spans="1:47" ht="25" customHeight="1" x14ac:dyDescent="0.35">
      <c r="A37" s="326"/>
      <c r="B37" s="326"/>
      <c r="C37" s="326"/>
      <c r="D37" s="326"/>
      <c r="E37" s="326"/>
      <c r="F37" s="326"/>
      <c r="G37" s="326">
        <f>G34/G3</f>
        <v>7.3653320650334531E-2</v>
      </c>
      <c r="H37" s="326"/>
      <c r="I37" s="326"/>
      <c r="J37" s="326"/>
      <c r="K37" s="326"/>
      <c r="L37" s="572"/>
      <c r="M37" s="572"/>
      <c r="N37" s="572"/>
      <c r="O37" s="572"/>
      <c r="P37" s="572"/>
      <c r="Q37" s="572"/>
      <c r="R37" s="572"/>
      <c r="S37" s="572"/>
      <c r="U37" s="281"/>
      <c r="V37" s="281"/>
      <c r="W37" s="281"/>
      <c r="X37" s="281"/>
      <c r="Y37" s="281"/>
      <c r="Z37" s="281"/>
      <c r="AA37" s="281"/>
      <c r="AB37" s="281"/>
      <c r="AC37" s="281"/>
      <c r="AD37" s="281"/>
      <c r="AE37" s="281"/>
      <c r="AF37" s="281"/>
      <c r="AG37" s="281"/>
      <c r="AH37" s="281"/>
      <c r="AI37" s="281"/>
      <c r="AJ37" s="281"/>
      <c r="AK37" s="281"/>
      <c r="AL37" s="281"/>
      <c r="AM37" s="281"/>
      <c r="AN37" s="281"/>
      <c r="AO37" s="281"/>
      <c r="AP37" s="281"/>
      <c r="AQ37" s="281"/>
      <c r="AR37" s="281"/>
      <c r="AS37" s="281"/>
      <c r="AT37" s="281"/>
      <c r="AU37" s="281"/>
    </row>
    <row r="38" spans="1:47" ht="25" customHeight="1" x14ac:dyDescent="0.35">
      <c r="A38" s="326" t="s">
        <v>31</v>
      </c>
      <c r="B38" s="326"/>
      <c r="C38" s="326"/>
      <c r="D38" s="326"/>
      <c r="E38" s="326"/>
      <c r="F38" s="326"/>
      <c r="G38" s="326"/>
      <c r="H38" s="326"/>
      <c r="I38" s="326"/>
      <c r="J38" s="326"/>
      <c r="K38" s="326"/>
      <c r="L38" s="572"/>
      <c r="M38" s="572"/>
      <c r="N38" s="572"/>
      <c r="O38" s="572"/>
      <c r="P38" s="572"/>
      <c r="Q38" s="572"/>
      <c r="R38" s="572"/>
      <c r="S38" s="572"/>
      <c r="U38" s="281"/>
      <c r="V38" s="281">
        <v>6</v>
      </c>
      <c r="W38" s="281">
        <v>6</v>
      </c>
      <c r="X38" s="281">
        <v>5</v>
      </c>
      <c r="Y38" s="281">
        <v>5</v>
      </c>
      <c r="Z38" s="281"/>
      <c r="AA38" s="281"/>
      <c r="AB38" s="281"/>
      <c r="AC38" s="281"/>
      <c r="AD38" s="281"/>
      <c r="AE38" s="281"/>
      <c r="AF38" s="281"/>
      <c r="AG38" s="281"/>
      <c r="AH38" s="281"/>
      <c r="AI38" s="281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</row>
    <row r="39" spans="1:47" ht="25" customHeight="1" x14ac:dyDescent="0.35">
      <c r="A39" s="326" t="s">
        <v>13</v>
      </c>
      <c r="B39" s="326"/>
      <c r="C39" s="326"/>
      <c r="D39" s="326"/>
      <c r="E39" s="326"/>
      <c r="F39" s="326"/>
      <c r="G39" s="326"/>
      <c r="H39" s="326"/>
      <c r="I39" s="326"/>
      <c r="J39" s="326"/>
      <c r="K39" s="326"/>
      <c r="L39" s="572"/>
      <c r="M39" s="572"/>
      <c r="N39" s="572"/>
      <c r="O39" s="572"/>
      <c r="P39" s="572"/>
      <c r="Q39" s="572"/>
      <c r="R39" s="572"/>
      <c r="S39" s="572"/>
      <c r="U39" s="281"/>
      <c r="V39" s="281"/>
      <c r="W39" s="281"/>
      <c r="X39" s="281"/>
      <c r="Y39" s="281"/>
      <c r="Z39" s="281"/>
      <c r="AA39" s="281"/>
      <c r="AB39" s="281"/>
      <c r="AC39" s="281"/>
      <c r="AD39" s="281"/>
      <c r="AE39" s="281"/>
      <c r="AF39" s="281"/>
      <c r="AG39" s="281"/>
      <c r="AH39" s="281"/>
      <c r="AI39" s="281"/>
      <c r="AJ39" s="281"/>
      <c r="AK39" s="281"/>
      <c r="AL39" s="281"/>
      <c r="AM39" s="281"/>
      <c r="AN39" s="281"/>
      <c r="AO39" s="281"/>
      <c r="AP39" s="281"/>
      <c r="AQ39" s="281"/>
      <c r="AR39" s="281"/>
      <c r="AS39" s="281"/>
      <c r="AT39" s="281"/>
      <c r="AU39" s="281"/>
    </row>
    <row r="40" spans="1:47" ht="25" customHeight="1" x14ac:dyDescent="0.35">
      <c r="A40" s="326" t="s">
        <v>14</v>
      </c>
      <c r="B40" s="326">
        <v>0.29294605469959611</v>
      </c>
      <c r="C40" s="326">
        <v>0.46767245030794435</v>
      </c>
      <c r="D40" s="326">
        <v>0.38837263194877414</v>
      </c>
      <c r="E40" s="326">
        <v>0.22814292905550637</v>
      </c>
      <c r="F40" s="326">
        <v>0.16516446378516569</v>
      </c>
      <c r="G40" s="326">
        <v>0.13016181430325835</v>
      </c>
      <c r="H40" s="326">
        <v>0.13834016426982099</v>
      </c>
      <c r="I40" s="326">
        <v>0.13991989776854696</v>
      </c>
      <c r="J40" s="326">
        <v>0.14143585710350903</v>
      </c>
      <c r="K40" s="326">
        <v>0.14288836597784571</v>
      </c>
      <c r="L40" s="572"/>
      <c r="M40" s="572"/>
      <c r="N40" s="572"/>
      <c r="O40" s="572"/>
      <c r="P40" s="572"/>
      <c r="Q40" s="572"/>
      <c r="R40" s="572"/>
      <c r="S40" s="572"/>
      <c r="U40" s="281"/>
      <c r="V40" s="281"/>
      <c r="W40" s="281"/>
      <c r="X40" s="281"/>
      <c r="Y40" s="281"/>
      <c r="Z40" s="281"/>
      <c r="AA40" s="281"/>
      <c r="AB40" s="281"/>
      <c r="AC40" s="281"/>
      <c r="AD40" s="281"/>
      <c r="AE40" s="281"/>
      <c r="AF40" s="281"/>
      <c r="AG40" s="281"/>
      <c r="AH40" s="281"/>
      <c r="AI40" s="281"/>
      <c r="AJ40" s="281"/>
      <c r="AK40" s="281"/>
      <c r="AL40" s="281"/>
      <c r="AM40" s="281"/>
      <c r="AN40" s="281"/>
      <c r="AO40" s="281"/>
      <c r="AP40" s="281"/>
      <c r="AQ40" s="281"/>
      <c r="AR40" s="281"/>
      <c r="AS40" s="281"/>
      <c r="AT40" s="281"/>
      <c r="AU40" s="281"/>
    </row>
    <row r="41" spans="1:47" ht="25" customHeight="1" x14ac:dyDescent="0.35">
      <c r="A41" s="326" t="s">
        <v>32</v>
      </c>
      <c r="B41" s="326"/>
      <c r="C41" s="326">
        <v>10403882.129133433</v>
      </c>
      <c r="D41" s="326">
        <v>15039306</v>
      </c>
      <c r="E41" s="326">
        <v>17484830</v>
      </c>
      <c r="F41" s="326">
        <v>19765793.68</v>
      </c>
      <c r="G41" s="326">
        <v>22668451.129999999</v>
      </c>
      <c r="H41" s="326">
        <v>25772649.271131713</v>
      </c>
      <c r="I41" s="326">
        <v>29223366.775900789</v>
      </c>
      <c r="J41" s="326">
        <v>33198954.446570478</v>
      </c>
      <c r="K41" s="326">
        <v>37782902.639362127</v>
      </c>
      <c r="L41" s="572"/>
      <c r="M41" s="572"/>
      <c r="N41" s="572"/>
      <c r="O41" s="572"/>
      <c r="P41" s="572"/>
      <c r="Q41" s="572"/>
      <c r="R41" s="572"/>
      <c r="S41" s="572"/>
      <c r="U41" s="281"/>
      <c r="V41" s="289">
        <f>AVERAGE(C35:F35)</f>
        <v>3.6980588975147666E-2</v>
      </c>
      <c r="W41" s="281"/>
      <c r="X41" s="281"/>
      <c r="Y41" s="281"/>
      <c r="Z41" s="281"/>
      <c r="AA41" s="281"/>
      <c r="AB41" s="281"/>
      <c r="AC41" s="281"/>
      <c r="AD41" s="281"/>
      <c r="AE41" s="281"/>
      <c r="AF41" s="281"/>
      <c r="AG41" s="281"/>
      <c r="AH41" s="281"/>
      <c r="AI41" s="281"/>
      <c r="AJ41" s="281"/>
      <c r="AK41" s="281"/>
      <c r="AL41" s="281"/>
      <c r="AM41" s="281"/>
      <c r="AN41" s="281"/>
      <c r="AO41" s="281"/>
      <c r="AP41" s="281"/>
      <c r="AQ41" s="281"/>
      <c r="AR41" s="281"/>
      <c r="AS41" s="281"/>
      <c r="AT41" s="281"/>
      <c r="AU41" s="281"/>
    </row>
    <row r="42" spans="1:47" ht="25" customHeight="1" x14ac:dyDescent="0.35">
      <c r="A42" s="326" t="s">
        <v>33</v>
      </c>
      <c r="B42" s="326"/>
      <c r="C42" s="326">
        <v>5173657</v>
      </c>
      <c r="D42" s="326">
        <v>6588123</v>
      </c>
      <c r="E42" s="326">
        <v>9076744</v>
      </c>
      <c r="F42" s="326">
        <v>11182808.447000001</v>
      </c>
      <c r="G42" s="326">
        <v>12308477.199999999</v>
      </c>
      <c r="H42" s="326">
        <v>14042993.06969424</v>
      </c>
      <c r="I42" s="326">
        <v>16163276.170842566</v>
      </c>
      <c r="J42" s="326">
        <v>18606987.246396452</v>
      </c>
      <c r="K42" s="326">
        <v>21425505.410056397</v>
      </c>
      <c r="L42" s="572"/>
      <c r="M42" s="572"/>
      <c r="N42" s="572"/>
      <c r="O42" s="572"/>
      <c r="P42" s="572"/>
      <c r="Q42" s="572"/>
      <c r="R42" s="572"/>
      <c r="S42" s="572"/>
      <c r="U42" s="281"/>
      <c r="V42" s="281"/>
      <c r="W42" s="281"/>
      <c r="X42" s="281"/>
      <c r="Y42" s="281"/>
      <c r="Z42" s="281"/>
      <c r="AA42" s="281"/>
      <c r="AB42" s="281"/>
      <c r="AC42" s="281"/>
      <c r="AD42" s="281"/>
      <c r="AE42" s="281"/>
      <c r="AF42" s="281"/>
      <c r="AG42" s="281"/>
      <c r="AH42" s="281"/>
      <c r="AI42" s="281"/>
      <c r="AJ42" s="281"/>
      <c r="AK42" s="281"/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</row>
    <row r="43" spans="1:47" ht="25" customHeight="1" x14ac:dyDescent="0.35">
      <c r="A43" s="326" t="s">
        <v>34</v>
      </c>
      <c r="B43" s="326"/>
      <c r="C43" s="326">
        <v>0.33212286980066835</v>
      </c>
      <c r="D43" s="326">
        <v>0.30499999999999999</v>
      </c>
      <c r="E43" s="326">
        <v>0.34172462821668625</v>
      </c>
      <c r="F43" s="326">
        <v>0.36133484805260269</v>
      </c>
      <c r="G43" s="326">
        <v>0.35190274811647532</v>
      </c>
      <c r="H43" s="326">
        <v>0.35270040225609794</v>
      </c>
      <c r="I43" s="326">
        <v>0.35612407354755315</v>
      </c>
      <c r="J43" s="326">
        <v>0.35916704992397619</v>
      </c>
      <c r="K43" s="326">
        <v>0.36186592607207946</v>
      </c>
      <c r="L43" s="572"/>
      <c r="M43" s="572"/>
      <c r="N43" s="572"/>
      <c r="O43" s="572"/>
      <c r="P43" s="572"/>
      <c r="Q43" s="572"/>
      <c r="R43" s="572"/>
      <c r="S43" s="572"/>
      <c r="U43" s="281"/>
      <c r="V43" s="281"/>
      <c r="W43" s="281"/>
      <c r="X43" s="281"/>
      <c r="Y43" s="281"/>
      <c r="Z43" s="281"/>
      <c r="AA43" s="281"/>
      <c r="AB43" s="281"/>
      <c r="AC43" s="281"/>
      <c r="AD43" s="281"/>
      <c r="AE43" s="281"/>
      <c r="AF43" s="281"/>
      <c r="AG43" s="281"/>
      <c r="AH43" s="281"/>
      <c r="AI43" s="281"/>
      <c r="AJ43" s="281"/>
      <c r="AK43" s="281"/>
      <c r="AL43" s="281"/>
      <c r="AM43" s="281"/>
      <c r="AN43" s="281"/>
      <c r="AO43" s="281"/>
      <c r="AP43" s="281"/>
      <c r="AQ43" s="281"/>
      <c r="AR43" s="281"/>
      <c r="AS43" s="281"/>
      <c r="AT43" s="281"/>
      <c r="AU43" s="281"/>
    </row>
    <row r="44" spans="1:47" ht="25" customHeight="1" x14ac:dyDescent="0.35">
      <c r="A44" s="326" t="s">
        <v>35</v>
      </c>
      <c r="B44" s="326"/>
      <c r="C44" s="326">
        <v>229178.69225299999</v>
      </c>
      <c r="D44" s="326">
        <v>337800.55106600001</v>
      </c>
      <c r="E44" s="326">
        <v>448558.61158399994</v>
      </c>
      <c r="F44" s="326">
        <v>698603.28799999994</v>
      </c>
      <c r="G44" s="326">
        <v>934201.69</v>
      </c>
      <c r="H44" s="326">
        <v>934447.92178417824</v>
      </c>
      <c r="I44" s="326">
        <v>934447.92178417824</v>
      </c>
      <c r="J44" s="326">
        <v>934447.92178417824</v>
      </c>
      <c r="K44" s="326">
        <v>934447.92178417824</v>
      </c>
      <c r="L44" s="572"/>
      <c r="M44" s="572"/>
      <c r="N44" s="572"/>
      <c r="O44" s="572"/>
      <c r="P44" s="572"/>
      <c r="Q44" s="572"/>
      <c r="R44" s="572"/>
      <c r="S44" s="572"/>
      <c r="U44" s="281"/>
      <c r="V44" s="281"/>
      <c r="W44" s="281"/>
      <c r="X44" s="281"/>
      <c r="Y44" s="281"/>
      <c r="Z44" s="281"/>
      <c r="AA44" s="281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281"/>
      <c r="AU44" s="281"/>
    </row>
    <row r="45" spans="1:47" ht="25" customHeight="1" x14ac:dyDescent="0.35">
      <c r="A45" s="326" t="s">
        <v>36</v>
      </c>
      <c r="B45" s="326"/>
      <c r="C45" s="326">
        <v>0.34683499411973912</v>
      </c>
      <c r="D45" s="326">
        <v>0.32023795112521236</v>
      </c>
      <c r="E45" s="326">
        <v>0.35861212937094766</v>
      </c>
      <c r="F45" s="326">
        <v>0.38390786395597781</v>
      </c>
      <c r="G45" s="326">
        <v>0.37861183134945686</v>
      </c>
      <c r="H45" s="326">
        <v>0.3761697692396872</v>
      </c>
      <c r="I45" s="326">
        <v>0.37671268422934906</v>
      </c>
      <c r="J45" s="326">
        <v>0.37720451611506051</v>
      </c>
      <c r="K45" s="326">
        <v>0.37764827781178906</v>
      </c>
      <c r="L45" s="572"/>
      <c r="M45" s="572"/>
      <c r="N45" s="572"/>
      <c r="O45" s="572"/>
      <c r="P45" s="572"/>
      <c r="Q45" s="572"/>
      <c r="R45" s="572"/>
      <c r="S45" s="572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</row>
    <row r="46" spans="1:47" ht="91.5" customHeight="1" x14ac:dyDescent="0.35">
      <c r="A46" s="326"/>
      <c r="B46" s="326"/>
      <c r="C46" s="326"/>
      <c r="D46" s="326"/>
      <c r="E46" s="326"/>
      <c r="F46" s="326"/>
      <c r="G46" s="326"/>
      <c r="H46" s="326"/>
      <c r="I46" s="326"/>
      <c r="J46" s="326"/>
      <c r="K46" s="326"/>
      <c r="L46" s="572"/>
      <c r="M46" s="572"/>
      <c r="N46" s="572"/>
      <c r="O46" s="572"/>
      <c r="P46" s="572"/>
      <c r="Q46" s="572"/>
      <c r="R46" s="572"/>
      <c r="S46" s="572"/>
      <c r="U46" s="281"/>
      <c r="V46" s="281"/>
      <c r="W46" s="281"/>
      <c r="X46" s="281"/>
      <c r="Y46" s="281"/>
      <c r="Z46" s="281"/>
      <c r="AA46" s="281"/>
      <c r="AB46" s="281"/>
      <c r="AC46" s="281"/>
      <c r="AD46" s="281"/>
      <c r="AE46" s="281"/>
      <c r="AF46" s="281"/>
      <c r="AG46" s="281"/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</row>
    <row r="47" spans="1:47" ht="25" customHeight="1" x14ac:dyDescent="0.35">
      <c r="A47" s="326"/>
      <c r="B47" s="296">
        <v>2018</v>
      </c>
      <c r="C47" s="296">
        <v>2019</v>
      </c>
      <c r="D47" s="296">
        <v>2020</v>
      </c>
      <c r="E47" s="296">
        <v>2021</v>
      </c>
      <c r="F47" s="296">
        <v>2022</v>
      </c>
      <c r="G47" s="296" t="s">
        <v>4</v>
      </c>
      <c r="H47" s="296" t="s">
        <v>5</v>
      </c>
      <c r="I47" s="296" t="s">
        <v>6</v>
      </c>
      <c r="J47" s="296" t="s">
        <v>7</v>
      </c>
      <c r="K47" s="296" t="s">
        <v>8</v>
      </c>
      <c r="L47" s="565"/>
      <c r="M47" s="565"/>
      <c r="N47" s="565"/>
      <c r="O47" s="565"/>
      <c r="P47" s="565"/>
      <c r="Q47" s="565"/>
      <c r="R47" s="565"/>
      <c r="S47" s="565"/>
      <c r="U47" s="289">
        <f>AVERAGE(D56:G56)</f>
        <v>0.14605321099031499</v>
      </c>
      <c r="V47" s="281"/>
      <c r="W47" s="281"/>
      <c r="X47" s="281"/>
      <c r="Y47" s="281"/>
      <c r="Z47" s="281"/>
      <c r="AA47" s="281"/>
      <c r="AB47" s="281"/>
      <c r="AC47" s="281"/>
      <c r="AD47" s="281"/>
      <c r="AE47" s="281"/>
      <c r="AF47" s="281"/>
      <c r="AG47" s="281"/>
      <c r="AH47" s="281"/>
      <c r="AI47" s="281"/>
      <c r="AJ47" s="281"/>
      <c r="AK47" s="281"/>
      <c r="AL47" s="281"/>
      <c r="AM47" s="281"/>
      <c r="AN47" s="281"/>
      <c r="AO47" s="281"/>
      <c r="AP47" s="281"/>
      <c r="AQ47" s="281"/>
      <c r="AR47" s="281"/>
      <c r="AS47" s="281"/>
      <c r="AT47" s="281"/>
      <c r="AU47" s="281"/>
    </row>
    <row r="48" spans="1:47" ht="25" customHeight="1" x14ac:dyDescent="0.35">
      <c r="A48" s="303" t="s">
        <v>37</v>
      </c>
      <c r="B48" s="303">
        <f t="shared" ref="B48:K48" si="19">B51-B58+B62+B70-B77+B81+B85</f>
        <v>42378.753979909998</v>
      </c>
      <c r="C48" s="303">
        <f t="shared" si="19"/>
        <v>45758.074290750003</v>
      </c>
      <c r="D48" s="303">
        <f>D51-D58+D62+D70-D77+D81+D85</f>
        <v>34956.943557933002</v>
      </c>
      <c r="E48" s="303">
        <f t="shared" si="19"/>
        <v>50241.584443779007</v>
      </c>
      <c r="F48" s="303">
        <f t="shared" si="19"/>
        <v>51354.195901306994</v>
      </c>
      <c r="G48" s="303">
        <f t="shared" si="19"/>
        <v>49067.986032907793</v>
      </c>
      <c r="H48" s="303">
        <f t="shared" si="19"/>
        <v>49745.939876931443</v>
      </c>
      <c r="I48" s="303">
        <f t="shared" si="19"/>
        <v>50665.151857869918</v>
      </c>
      <c r="J48" s="303">
        <f t="shared" si="19"/>
        <v>51284.803720800359</v>
      </c>
      <c r="K48" s="303">
        <f t="shared" si="19"/>
        <v>51937.319563267723</v>
      </c>
      <c r="L48" s="566"/>
      <c r="M48" s="566"/>
      <c r="N48" s="566"/>
      <c r="O48" s="566"/>
      <c r="P48" s="566"/>
      <c r="Q48" s="566"/>
      <c r="R48" s="566"/>
      <c r="S48" s="566"/>
      <c r="U48" s="281"/>
      <c r="V48" s="281">
        <f>W49/V49-1</f>
        <v>8.6546586209067522E-2</v>
      </c>
      <c r="W48" s="281"/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281"/>
      <c r="AI48" s="281"/>
      <c r="AJ48" s="281"/>
      <c r="AK48" s="281"/>
      <c r="AL48" s="281"/>
      <c r="AM48" s="281"/>
      <c r="AN48" s="281"/>
      <c r="AO48" s="281"/>
      <c r="AP48" s="281"/>
      <c r="AQ48" s="281"/>
      <c r="AR48" s="281"/>
      <c r="AS48" s="281"/>
      <c r="AT48" s="281"/>
      <c r="AU48" s="281"/>
    </row>
    <row r="49" spans="1:47" ht="46.5" customHeight="1" x14ac:dyDescent="0.35">
      <c r="A49" s="320"/>
      <c r="B49" s="463" t="s">
        <v>1</v>
      </c>
      <c r="C49" s="463"/>
      <c r="D49" s="463"/>
      <c r="E49" s="463"/>
      <c r="F49" s="463"/>
      <c r="G49" s="463" t="s">
        <v>2</v>
      </c>
      <c r="H49" s="463"/>
      <c r="I49" s="463"/>
      <c r="J49" s="463"/>
      <c r="K49" s="463"/>
      <c r="L49" s="564"/>
      <c r="M49" s="564"/>
      <c r="N49" s="564"/>
      <c r="O49" s="564"/>
      <c r="P49" s="564"/>
      <c r="Q49" s="564"/>
      <c r="R49" s="564"/>
      <c r="S49" s="564"/>
      <c r="U49" s="281"/>
      <c r="V49" s="69">
        <v>1103472820884</v>
      </c>
      <c r="W49" s="69">
        <v>1198974626506</v>
      </c>
      <c r="X49" s="281"/>
      <c r="Y49" s="281"/>
      <c r="Z49" s="281"/>
      <c r="AA49" s="281"/>
      <c r="AB49" s="281"/>
      <c r="AC49" s="281"/>
      <c r="AD49" s="281"/>
      <c r="AE49" s="281"/>
      <c r="AF49" s="281"/>
      <c r="AG49" s="281"/>
      <c r="AH49" s="281"/>
      <c r="AI49" s="281"/>
      <c r="AJ49" s="281"/>
      <c r="AK49" s="281"/>
      <c r="AL49" s="281"/>
      <c r="AM49" s="281"/>
      <c r="AN49" s="281"/>
      <c r="AO49" s="281"/>
      <c r="AP49" s="281"/>
      <c r="AQ49" s="281"/>
      <c r="AR49" s="281"/>
      <c r="AS49" s="281"/>
      <c r="AT49" s="281"/>
      <c r="AU49" s="281"/>
    </row>
    <row r="50" spans="1:47" s="312" customFormat="1" ht="25" customHeight="1" x14ac:dyDescent="0.35">
      <c r="A50" s="461" t="s">
        <v>38</v>
      </c>
      <c r="B50" s="461"/>
      <c r="C50" s="461"/>
      <c r="D50" s="461"/>
      <c r="E50" s="461"/>
      <c r="F50" s="461"/>
      <c r="G50" s="461"/>
      <c r="H50" s="461"/>
      <c r="I50" s="461"/>
      <c r="J50" s="461"/>
      <c r="K50" s="461"/>
      <c r="L50" s="567"/>
      <c r="M50" s="567"/>
      <c r="N50" s="567"/>
      <c r="O50" s="567"/>
      <c r="P50" s="567"/>
      <c r="Q50" s="567"/>
      <c r="R50" s="567"/>
      <c r="S50" s="567"/>
      <c r="T50" s="314"/>
      <c r="U50" s="312" t="s">
        <v>39</v>
      </c>
      <c r="V50" s="312" t="s">
        <v>40</v>
      </c>
    </row>
    <row r="51" spans="1:47" s="306" customFormat="1" ht="25" customHeight="1" x14ac:dyDescent="0.35">
      <c r="A51" s="324" t="s">
        <v>38</v>
      </c>
      <c r="B51" s="325">
        <f>B92/1000000000</f>
        <v>27950.543501501001</v>
      </c>
      <c r="C51" s="325">
        <f>C92/1000000000</f>
        <v>29745.906112117002</v>
      </c>
      <c r="D51" s="325">
        <f>D92/1000000000</f>
        <v>31967.662837839001</v>
      </c>
      <c r="E51" s="325">
        <f>E92/1000000000</f>
        <v>34640.863353838999</v>
      </c>
      <c r="F51" s="325">
        <f>F92/1000000000</f>
        <v>36059.015690710999</v>
      </c>
      <c r="G51" s="325">
        <f>G54*G3</f>
        <v>33484.800451572548</v>
      </c>
      <c r="H51" s="325">
        <f>H54*H3</f>
        <v>33869.325004841849</v>
      </c>
      <c r="I51" s="325">
        <f>I54*I3</f>
        <v>34300.809018895685</v>
      </c>
      <c r="J51" s="325">
        <f>J54*J3</f>
        <v>34779.87222078647</v>
      </c>
      <c r="K51" s="325">
        <f>K54*K3</f>
        <v>35307.432694267009</v>
      </c>
      <c r="L51" s="568"/>
      <c r="M51" s="568"/>
      <c r="N51" s="568"/>
      <c r="O51" s="568"/>
      <c r="P51" s="568"/>
      <c r="Q51" s="568"/>
      <c r="R51" s="568"/>
      <c r="S51" s="568"/>
      <c r="T51" s="289"/>
      <c r="U51" s="283" t="s">
        <v>41</v>
      </c>
      <c r="V51" s="283">
        <v>2022</v>
      </c>
      <c r="W51" s="283">
        <v>2023</v>
      </c>
      <c r="X51" s="283" t="s">
        <v>42</v>
      </c>
      <c r="Y51" s="283"/>
      <c r="Z51" s="283"/>
      <c r="AA51" s="283"/>
      <c r="AB51" s="283"/>
      <c r="AC51" s="283"/>
      <c r="AD51" s="283"/>
      <c r="AE51" s="283"/>
      <c r="AF51" s="283"/>
      <c r="AG51" s="283"/>
      <c r="AH51" s="283"/>
      <c r="AI51" s="283"/>
      <c r="AJ51" s="283"/>
      <c r="AK51" s="283"/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</row>
    <row r="52" spans="1:47" s="306" customFormat="1" ht="25" customHeight="1" x14ac:dyDescent="0.35">
      <c r="A52" s="326" t="s">
        <v>14</v>
      </c>
      <c r="B52" s="329">
        <f>AVERAGE(C52:F52)</f>
        <v>6.5871364303245861E-2</v>
      </c>
      <c r="C52" s="328">
        <f>C51/B51-1</f>
        <v>6.4233549180164884E-2</v>
      </c>
      <c r="D52" s="328">
        <f t="shared" ref="D52" si="20">D51/C51-1</f>
        <v>7.4691176572259987E-2</v>
      </c>
      <c r="E52" s="328">
        <f t="shared" ref="E52" si="21">E51/D51-1</f>
        <v>8.3622019212359344E-2</v>
      </c>
      <c r="F52" s="328">
        <f t="shared" ref="F52" si="22">F51/E51-1</f>
        <v>4.0938712248199227E-2</v>
      </c>
      <c r="G52" s="328">
        <f>(1+G53)*(1+G56)-1</f>
        <v>-0.14514944281476139</v>
      </c>
      <c r="H52" s="328">
        <f>(1+H53)*(1+H56)-1</f>
        <v>-8.3922208424255795E-2</v>
      </c>
      <c r="I52" s="328">
        <f>(1+I53)*(1+I56)-1</f>
        <v>5.7683075086656821E-2</v>
      </c>
      <c r="J52" s="328">
        <f>(1+J53)*(1+J56)-1</f>
        <v>3.1652014948513774E-2</v>
      </c>
      <c r="K52" s="328">
        <f>(1+K53)*(1+K56)-1</f>
        <v>3.1652014948513774E-2</v>
      </c>
      <c r="L52" s="570"/>
      <c r="M52" s="570"/>
      <c r="N52" s="570"/>
      <c r="O52" s="570"/>
      <c r="P52" s="570"/>
      <c r="Q52" s="570"/>
      <c r="R52" s="570"/>
      <c r="S52" s="570"/>
      <c r="T52" s="289"/>
      <c r="U52" s="283"/>
      <c r="V52" s="283">
        <v>9729311781833</v>
      </c>
      <c r="W52" s="283">
        <v>9082087041037</v>
      </c>
      <c r="X52" s="284">
        <f>W52/V52-1</f>
        <v>-6.6523178135222905E-2</v>
      </c>
      <c r="Y52" s="283"/>
      <c r="Z52" s="283"/>
      <c r="AA52" s="283"/>
      <c r="AB52" s="283"/>
      <c r="AC52" s="283"/>
      <c r="AD52" s="283"/>
      <c r="AE52" s="283"/>
      <c r="AF52" s="283"/>
      <c r="AG52" s="283"/>
      <c r="AH52" s="283"/>
      <c r="AI52" s="283"/>
      <c r="AJ52" s="283"/>
      <c r="AK52" s="283"/>
      <c r="AL52" s="283"/>
      <c r="AM52" s="283"/>
      <c r="AN52" s="283"/>
      <c r="AO52" s="283"/>
      <c r="AP52" s="283"/>
      <c r="AQ52" s="283"/>
      <c r="AR52" s="283"/>
      <c r="AS52" s="283"/>
      <c r="AT52" s="283"/>
      <c r="AU52" s="283"/>
    </row>
    <row r="53" spans="1:47" s="306" customFormat="1" ht="25" customHeight="1" x14ac:dyDescent="0.35">
      <c r="A53" s="326" t="s">
        <v>43</v>
      </c>
      <c r="B53" s="326"/>
      <c r="C53" s="328">
        <f>C54/B54-1</f>
        <v>-6.7461836338124082E-3</v>
      </c>
      <c r="D53" s="328">
        <f t="shared" ref="D53:E53" si="23">D54/C54-1</f>
        <v>1.4895358661524583E-2</v>
      </c>
      <c r="E53" s="328">
        <f t="shared" si="23"/>
        <v>6.0802337879150903E-2</v>
      </c>
      <c r="F53" s="328">
        <f>F54/E54-1</f>
        <v>5.7656546887191906E-2</v>
      </c>
      <c r="G53" s="328">
        <f>$U$53</f>
        <v>3.1652014948513746E-2</v>
      </c>
      <c r="H53" s="328">
        <f>$U$53</f>
        <v>3.1652014948513746E-2</v>
      </c>
      <c r="I53" s="328">
        <f>$U$53</f>
        <v>3.1652014948513746E-2</v>
      </c>
      <c r="J53" s="328">
        <f>$U$53</f>
        <v>3.1652014948513746E-2</v>
      </c>
      <c r="K53" s="328">
        <f>$U$53</f>
        <v>3.1652014948513746E-2</v>
      </c>
      <c r="L53" s="570"/>
      <c r="M53" s="570"/>
      <c r="N53" s="570"/>
      <c r="O53" s="570"/>
      <c r="P53" s="570"/>
      <c r="Q53" s="570"/>
      <c r="R53" s="570"/>
      <c r="S53" s="570"/>
      <c r="T53" s="289"/>
      <c r="U53" s="290">
        <f>AVERAGE(C53:F53)</f>
        <v>3.1652014948513746E-2</v>
      </c>
      <c r="V53" s="283">
        <v>16094113384043</v>
      </c>
      <c r="W53" s="283">
        <v>15681494654705</v>
      </c>
      <c r="X53" s="284">
        <f>W53/V53-1</f>
        <v>-2.5637866435507028E-2</v>
      </c>
      <c r="Y53" s="283"/>
      <c r="Z53" s="283"/>
      <c r="AA53" s="283"/>
      <c r="AB53" s="283"/>
      <c r="AC53" s="283"/>
      <c r="AD53" s="283"/>
      <c r="AE53" s="283"/>
      <c r="AF53" s="283"/>
      <c r="AG53" s="283"/>
      <c r="AH53" s="283"/>
      <c r="AI53" s="283"/>
      <c r="AJ53" s="283"/>
      <c r="AK53" s="283"/>
      <c r="AL53" s="283"/>
      <c r="AM53" s="283"/>
      <c r="AN53" s="283"/>
      <c r="AO53" s="283"/>
      <c r="AP53" s="283"/>
      <c r="AQ53" s="283"/>
      <c r="AR53" s="283"/>
      <c r="AS53" s="283"/>
      <c r="AT53" s="283"/>
      <c r="AU53" s="283"/>
    </row>
    <row r="54" spans="1:47" s="306" customFormat="1" ht="25" customHeight="1" x14ac:dyDescent="0.35">
      <c r="A54" s="326" t="s">
        <v>44</v>
      </c>
      <c r="B54" s="328">
        <f>B51/B3</f>
        <v>0.53176382347879025</v>
      </c>
      <c r="C54" s="328">
        <f>C51/C3</f>
        <v>0.52817644707578415</v>
      </c>
      <c r="D54" s="328">
        <f>D51/D3</f>
        <v>0.53604382469154777</v>
      </c>
      <c r="E54" s="328">
        <f>E51/E3</f>
        <v>0.56863654243847561</v>
      </c>
      <c r="F54" s="328">
        <f>F51/F3</f>
        <v>0.60142216190935027</v>
      </c>
      <c r="G54" s="329">
        <f>AVERAGE($B$54:$F$54)</f>
        <v>0.55320855991878959</v>
      </c>
      <c r="H54" s="329">
        <f>AVERAGE($B$54:$F$54)</f>
        <v>0.55320855991878959</v>
      </c>
      <c r="I54" s="329">
        <f>AVERAGE($B$54:$F$54)</f>
        <v>0.55320855991878959</v>
      </c>
      <c r="J54" s="329">
        <f>AVERAGE($B$54:$F$54)</f>
        <v>0.55320855991878959</v>
      </c>
      <c r="K54" s="329">
        <f>AVERAGE($B$54:$F$54)</f>
        <v>0.55320855991878959</v>
      </c>
      <c r="L54" s="569"/>
      <c r="M54" s="569"/>
      <c r="N54" s="569"/>
      <c r="O54" s="569"/>
      <c r="P54" s="569"/>
      <c r="Q54" s="569"/>
      <c r="R54" s="569"/>
      <c r="S54" s="569"/>
      <c r="T54" s="289"/>
      <c r="U54" s="311" t="s">
        <v>45</v>
      </c>
      <c r="V54" s="292">
        <f>V52/V53</f>
        <v>0.60452611148368218</v>
      </c>
      <c r="W54" s="292">
        <f>W52/W53</f>
        <v>0.5791595279032955</v>
      </c>
      <c r="X54" s="283"/>
      <c r="Y54" s="283"/>
      <c r="Z54" s="283"/>
      <c r="AA54" s="283"/>
      <c r="AB54" s="283"/>
      <c r="AC54" s="283"/>
      <c r="AD54" s="283"/>
      <c r="AE54" s="283"/>
      <c r="AF54" s="283"/>
      <c r="AG54" s="283"/>
      <c r="AH54" s="283"/>
      <c r="AI54" s="283"/>
      <c r="AJ54" s="283"/>
      <c r="AK54" s="283"/>
      <c r="AL54" s="283"/>
      <c r="AM54" s="283"/>
      <c r="AN54" s="283"/>
      <c r="AO54" s="283"/>
      <c r="AP54" s="283"/>
      <c r="AQ54" s="283"/>
      <c r="AR54" s="283"/>
      <c r="AS54" s="283"/>
      <c r="AT54" s="283"/>
      <c r="AU54" s="283"/>
    </row>
    <row r="55" spans="1:47" s="306" customFormat="1" ht="25" customHeight="1" x14ac:dyDescent="0.35">
      <c r="A55" s="326" t="s">
        <v>46</v>
      </c>
      <c r="B55" s="326"/>
      <c r="C55" s="326">
        <v>1.879</v>
      </c>
      <c r="D55" s="326">
        <v>2.492</v>
      </c>
      <c r="E55" s="326">
        <v>2.0920000000000001</v>
      </c>
      <c r="F55" s="326">
        <v>3.3260000000000001</v>
      </c>
      <c r="G55" s="326">
        <v>2.7559999999999998</v>
      </c>
      <c r="H55" s="408">
        <f>AVERAGE($C$55:$F$55)</f>
        <v>2.4472500000000004</v>
      </c>
      <c r="I55" s="326">
        <f t="shared" ref="I55:K55" si="24">AVERAGE($C$55:$G$55)</f>
        <v>2.5090000000000003</v>
      </c>
      <c r="J55" s="326">
        <f t="shared" si="24"/>
        <v>2.5090000000000003</v>
      </c>
      <c r="K55" s="326">
        <f t="shared" si="24"/>
        <v>2.5090000000000003</v>
      </c>
      <c r="L55" s="572"/>
      <c r="M55" s="572"/>
      <c r="N55" s="572"/>
      <c r="O55" s="572"/>
      <c r="P55" s="572"/>
      <c r="Q55" s="572"/>
      <c r="R55" s="572"/>
      <c r="S55" s="572"/>
      <c r="T55" s="289"/>
      <c r="U55" s="283" t="s">
        <v>47</v>
      </c>
      <c r="V55" s="283"/>
      <c r="W55" s="283"/>
      <c r="X55" s="283"/>
      <c r="Y55" s="283"/>
      <c r="Z55" s="283"/>
      <c r="AA55" s="283"/>
      <c r="AB55" s="283"/>
      <c r="AC55" s="283"/>
      <c r="AD55" s="283"/>
      <c r="AE55" s="283"/>
      <c r="AF55" s="283"/>
      <c r="AG55" s="283"/>
      <c r="AH55" s="283"/>
      <c r="AI55" s="283"/>
      <c r="AJ55" s="283"/>
      <c r="AK55" s="283"/>
      <c r="AL55" s="283"/>
      <c r="AM55" s="283"/>
      <c r="AN55" s="283"/>
      <c r="AO55" s="283"/>
      <c r="AP55" s="283"/>
      <c r="AQ55" s="283"/>
      <c r="AR55" s="283"/>
      <c r="AS55" s="283"/>
      <c r="AT55" s="283"/>
      <c r="AU55" s="283"/>
    </row>
    <row r="56" spans="1:47" s="306" customFormat="1" ht="25" customHeight="1" x14ac:dyDescent="0.35">
      <c r="A56" s="326" t="s">
        <v>48</v>
      </c>
      <c r="B56" s="326"/>
      <c r="C56" s="329">
        <f>AVERAGE(D56:E56)</f>
        <v>8.2861858319159931E-2</v>
      </c>
      <c r="D56" s="328">
        <f>D55/C55-1</f>
        <v>0.32623736029803085</v>
      </c>
      <c r="E56" s="328">
        <f t="shared" ref="E56:F56" si="25">E55/D55-1</f>
        <v>-0.16051364365971099</v>
      </c>
      <c r="F56" s="328">
        <f t="shared" si="25"/>
        <v>0.58986615678776277</v>
      </c>
      <c r="G56" s="328">
        <f>G55/F55-1</f>
        <v>-0.17137702946482269</v>
      </c>
      <c r="H56" s="328">
        <f>H55/G55-1</f>
        <v>-0.11202830188679225</v>
      </c>
      <c r="I56" s="328">
        <f>I55/H55-1</f>
        <v>2.5232403718459473E-2</v>
      </c>
      <c r="J56" s="328">
        <f t="shared" ref="J56:K56" si="26">J55/I55-1</f>
        <v>0</v>
      </c>
      <c r="K56" s="328">
        <f t="shared" si="26"/>
        <v>0</v>
      </c>
      <c r="L56" s="570"/>
      <c r="M56" s="570"/>
      <c r="N56" s="570"/>
      <c r="O56" s="570"/>
      <c r="P56" s="570"/>
      <c r="Q56" s="570"/>
      <c r="R56" s="570"/>
      <c r="S56" s="570"/>
      <c r="T56" s="289"/>
      <c r="U56" s="290">
        <f>AVERAGE(D56:F56)</f>
        <v>0.25186329114202755</v>
      </c>
      <c r="V56" s="283"/>
      <c r="W56" s="283"/>
      <c r="X56" s="283"/>
      <c r="Y56" s="283"/>
      <c r="Z56" s="283"/>
      <c r="AA56" s="283"/>
      <c r="AB56" s="283"/>
      <c r="AC56" s="283"/>
      <c r="AD56" s="28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</row>
    <row r="57" spans="1:47" s="312" customFormat="1" ht="25" customHeight="1" x14ac:dyDescent="0.35">
      <c r="A57" s="461" t="s">
        <v>49</v>
      </c>
      <c r="B57" s="461"/>
      <c r="C57" s="461"/>
      <c r="D57" s="461"/>
      <c r="E57" s="461"/>
      <c r="F57" s="461"/>
      <c r="G57" s="461"/>
      <c r="H57" s="461"/>
      <c r="I57" s="461"/>
      <c r="J57" s="461"/>
      <c r="K57" s="461"/>
      <c r="L57" s="567"/>
      <c r="M57" s="567"/>
      <c r="N57" s="567"/>
      <c r="O57" s="567"/>
      <c r="P57" s="567"/>
      <c r="Q57" s="567"/>
      <c r="R57" s="567"/>
      <c r="S57" s="567"/>
      <c r="T57" s="314"/>
      <c r="U57" s="315">
        <v>36059015690711</v>
      </c>
      <c r="V57" s="312" t="s">
        <v>50</v>
      </c>
    </row>
    <row r="58" spans="1:47" s="306" customFormat="1" ht="25" customHeight="1" x14ac:dyDescent="0.35">
      <c r="A58" s="325" t="s">
        <v>51</v>
      </c>
      <c r="B58" s="325">
        <f>B60/1000000000</f>
        <v>759.91739100100006</v>
      </c>
      <c r="C58" s="325">
        <f t="shared" ref="C58:F58" si="27">C60/1000000000</f>
        <v>807.31670748299996</v>
      </c>
      <c r="D58" s="325">
        <f t="shared" si="27"/>
        <v>1581.092655317</v>
      </c>
      <c r="E58" s="325">
        <f t="shared" si="27"/>
        <v>1214.683819394</v>
      </c>
      <c r="F58" s="325">
        <f t="shared" si="27"/>
        <v>1379.9044077399999</v>
      </c>
      <c r="G58" s="325">
        <f>F58*(1+2%)</f>
        <v>1407.5024958947999</v>
      </c>
      <c r="H58" s="325">
        <f>G58*(1+2%)</f>
        <v>1435.652545812696</v>
      </c>
      <c r="I58" s="325">
        <f t="shared" ref="I58:K58" si="28">AVERAGE($B$58:$F$58)</f>
        <v>1148.5829961869999</v>
      </c>
      <c r="J58" s="325">
        <f t="shared" si="28"/>
        <v>1148.5829961869999</v>
      </c>
      <c r="K58" s="325">
        <f t="shared" si="28"/>
        <v>1148.5829961869999</v>
      </c>
      <c r="L58" s="568"/>
      <c r="M58" s="568"/>
      <c r="N58" s="568"/>
      <c r="O58" s="568"/>
      <c r="P58" s="568"/>
      <c r="Q58" s="568"/>
      <c r="R58" s="568"/>
      <c r="S58" s="568"/>
      <c r="T58" s="289"/>
      <c r="U58" s="309">
        <v>1379904407740</v>
      </c>
      <c r="V58" s="312" t="s">
        <v>52</v>
      </c>
      <c r="W58" s="283"/>
      <c r="X58" s="283"/>
      <c r="Y58" s="283"/>
      <c r="Z58" s="283"/>
      <c r="AA58" s="283"/>
      <c r="AB58" s="283"/>
      <c r="AC58" s="283"/>
      <c r="AD58" s="283"/>
      <c r="AE58" s="283"/>
      <c r="AF58" s="283"/>
      <c r="AG58" s="283"/>
      <c r="AH58" s="283"/>
      <c r="AI58" s="283"/>
      <c r="AJ58" s="283"/>
      <c r="AK58" s="283"/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</row>
    <row r="59" spans="1:47" s="306" customFormat="1" ht="25" customHeight="1" x14ac:dyDescent="0.35">
      <c r="A59" s="326" t="s">
        <v>14</v>
      </c>
      <c r="B59" s="326"/>
      <c r="C59" s="347">
        <f>C58/B58-1</f>
        <v>6.2374301527121645E-2</v>
      </c>
      <c r="D59" s="347">
        <f t="shared" ref="D59:F59" si="29">D58/C58-1</f>
        <v>0.95845402512036304</v>
      </c>
      <c r="E59" s="347">
        <f t="shared" si="29"/>
        <v>-0.2317440630002402</v>
      </c>
      <c r="F59" s="347">
        <f t="shared" si="29"/>
        <v>0.1360194197930682</v>
      </c>
      <c r="G59" s="348">
        <f>G58/F58-1</f>
        <v>2.0000000000000018E-2</v>
      </c>
      <c r="H59" s="348">
        <f t="shared" ref="H59:J59" si="30">H58/G58-1</f>
        <v>2.0000000000000018E-2</v>
      </c>
      <c r="I59" s="348">
        <f t="shared" si="30"/>
        <v>-0.19995753879514866</v>
      </c>
      <c r="J59" s="348">
        <f t="shared" si="30"/>
        <v>0</v>
      </c>
      <c r="K59" s="348">
        <f>K58/J58-1</f>
        <v>0</v>
      </c>
      <c r="L59" s="573"/>
      <c r="M59" s="573"/>
      <c r="N59" s="573"/>
      <c r="O59" s="573"/>
      <c r="P59" s="573"/>
      <c r="Q59" s="573"/>
      <c r="R59" s="573"/>
      <c r="S59" s="573"/>
      <c r="T59" s="289"/>
      <c r="U59" s="309">
        <v>617537182995</v>
      </c>
      <c r="V59" s="312" t="s">
        <v>53</v>
      </c>
      <c r="W59" s="283"/>
      <c r="X59" s="283"/>
      <c r="Y59" s="283"/>
      <c r="Z59" s="283"/>
      <c r="AA59" s="283"/>
      <c r="AB59" s="283"/>
      <c r="AC59" s="283"/>
      <c r="AD59" s="283"/>
      <c r="AE59" s="283"/>
      <c r="AF59" s="283"/>
      <c r="AG59" s="283"/>
      <c r="AH59" s="283"/>
      <c r="AI59" s="283"/>
      <c r="AJ59" s="283"/>
      <c r="AK59" s="283"/>
      <c r="AL59" s="283"/>
      <c r="AM59" s="283"/>
      <c r="AN59" s="283"/>
      <c r="AO59" s="283"/>
      <c r="AP59" s="283"/>
      <c r="AQ59" s="283"/>
      <c r="AR59" s="283"/>
      <c r="AS59" s="283"/>
      <c r="AT59" s="283"/>
      <c r="AU59" s="283"/>
    </row>
    <row r="60" spans="1:47" s="312" customFormat="1" ht="25" customHeight="1" x14ac:dyDescent="0.35">
      <c r="A60" s="326" t="s">
        <v>49</v>
      </c>
      <c r="B60" s="349">
        <v>759917391001</v>
      </c>
      <c r="C60" s="349">
        <v>807316707483</v>
      </c>
      <c r="D60" s="349">
        <v>1581092655317</v>
      </c>
      <c r="E60" s="349">
        <v>1214683819394</v>
      </c>
      <c r="F60" s="349">
        <v>1379904407740</v>
      </c>
      <c r="G60" s="326"/>
      <c r="H60" s="326"/>
      <c r="I60" s="326"/>
      <c r="J60" s="326"/>
      <c r="K60" s="326"/>
      <c r="L60" s="572"/>
      <c r="M60" s="572"/>
      <c r="N60" s="572"/>
      <c r="O60" s="572"/>
      <c r="P60" s="572"/>
      <c r="Q60" s="572"/>
      <c r="R60" s="572"/>
      <c r="S60" s="572"/>
      <c r="T60" s="314"/>
      <c r="U60" s="313">
        <v>12548212246871</v>
      </c>
      <c r="V60" s="312" t="s">
        <v>54</v>
      </c>
    </row>
    <row r="61" spans="1:47" s="306" customFormat="1" ht="25" customHeight="1" x14ac:dyDescent="0.35">
      <c r="A61" s="461" t="s">
        <v>55</v>
      </c>
      <c r="B61" s="461"/>
      <c r="C61" s="461"/>
      <c r="D61" s="461"/>
      <c r="E61" s="461"/>
      <c r="F61" s="461"/>
      <c r="G61" s="461"/>
      <c r="H61" s="461"/>
      <c r="I61" s="461"/>
      <c r="J61" s="461"/>
      <c r="K61" s="461"/>
      <c r="L61" s="567"/>
      <c r="M61" s="567"/>
      <c r="N61" s="567"/>
      <c r="O61" s="567"/>
      <c r="P61" s="567"/>
      <c r="Q61" s="567"/>
      <c r="R61" s="567"/>
      <c r="S61" s="567"/>
      <c r="T61" s="289"/>
      <c r="U61" s="309">
        <v>1595845681078</v>
      </c>
      <c r="V61" s="312" t="s">
        <v>56</v>
      </c>
      <c r="W61" s="283"/>
      <c r="X61" s="283"/>
      <c r="Y61" s="283"/>
      <c r="Z61" s="283"/>
      <c r="AA61" s="283"/>
      <c r="AB61" s="283"/>
      <c r="AC61" s="283"/>
      <c r="AD61" s="283"/>
      <c r="AE61" s="283"/>
      <c r="AF61" s="283"/>
      <c r="AG61" s="283"/>
      <c r="AH61" s="283"/>
      <c r="AI61" s="283"/>
      <c r="AJ61" s="283"/>
      <c r="AK61" s="283"/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</row>
    <row r="62" spans="1:47" s="306" customFormat="1" ht="25" customHeight="1" x14ac:dyDescent="0.35">
      <c r="A62" s="321" t="s">
        <v>57</v>
      </c>
      <c r="B62" s="321">
        <f>B63/1000000000</f>
        <v>118.00700167399999</v>
      </c>
      <c r="C62" s="321">
        <f t="shared" ref="C62:F62" si="31">C63/1000000000</f>
        <v>186.96968182800001</v>
      </c>
      <c r="D62" s="321">
        <f t="shared" si="31"/>
        <v>308.56932883500002</v>
      </c>
      <c r="E62" s="321">
        <f t="shared" si="31"/>
        <v>202.338232232</v>
      </c>
      <c r="F62" s="321">
        <f t="shared" si="31"/>
        <v>617.53718299499997</v>
      </c>
      <c r="G62" s="321">
        <f>F62*(1+2%)</f>
        <v>629.88792665489996</v>
      </c>
      <c r="H62" s="321">
        <f>G62*(1+2%)</f>
        <v>642.485685187998</v>
      </c>
      <c r="I62" s="321">
        <f>H62*(1+I64)</f>
        <v>528.32539595412311</v>
      </c>
      <c r="J62" s="321">
        <f t="shared" ref="J62" si="32">I62*(1+J64)</f>
        <v>348.1479224452595</v>
      </c>
      <c r="K62" s="321">
        <f>J62*(1+K64)</f>
        <v>146.27734018564536</v>
      </c>
      <c r="L62" s="568"/>
      <c r="M62" s="568"/>
      <c r="N62" s="568"/>
      <c r="O62" s="568"/>
      <c r="P62" s="568"/>
      <c r="Q62" s="568"/>
      <c r="R62" s="568"/>
      <c r="S62" s="568"/>
      <c r="T62" s="289"/>
      <c r="U62" s="309">
        <v>289021799127</v>
      </c>
      <c r="V62" s="312" t="s">
        <v>58</v>
      </c>
      <c r="W62" s="283"/>
      <c r="X62" s="283"/>
      <c r="Y62" s="283"/>
      <c r="Z62" s="283"/>
      <c r="AA62" s="283"/>
      <c r="AB62" s="283"/>
      <c r="AC62" s="283"/>
      <c r="AD62" s="283"/>
      <c r="AE62" s="283"/>
      <c r="AF62" s="283"/>
      <c r="AG62" s="283"/>
      <c r="AH62" s="283"/>
      <c r="AI62" s="283"/>
      <c r="AJ62" s="283"/>
      <c r="AK62" s="283"/>
      <c r="AL62" s="283"/>
      <c r="AM62" s="283"/>
      <c r="AN62" s="283"/>
      <c r="AO62" s="283"/>
      <c r="AP62" s="283"/>
      <c r="AQ62" s="283"/>
      <c r="AR62" s="283"/>
      <c r="AS62" s="283"/>
      <c r="AT62" s="283"/>
      <c r="AU62" s="283"/>
    </row>
    <row r="63" spans="1:47" s="306" customFormat="1" ht="25" customHeight="1" x14ac:dyDescent="0.35">
      <c r="A63" s="326"/>
      <c r="B63" s="349">
        <v>118007001674</v>
      </c>
      <c r="C63" s="349">
        <v>186969681828</v>
      </c>
      <c r="D63" s="349">
        <v>308569328835</v>
      </c>
      <c r="E63" s="349">
        <v>202338232232</v>
      </c>
      <c r="F63" s="349">
        <v>617537182995</v>
      </c>
      <c r="G63" s="326"/>
      <c r="H63" s="328"/>
      <c r="I63" s="326"/>
      <c r="J63" s="326"/>
      <c r="K63" s="326"/>
      <c r="L63" s="572"/>
      <c r="M63" s="572"/>
      <c r="N63" s="572"/>
      <c r="O63" s="572"/>
      <c r="P63" s="572"/>
      <c r="Q63" s="572"/>
      <c r="R63" s="572"/>
      <c r="S63" s="572"/>
      <c r="T63" s="289"/>
      <c r="U63" s="309">
        <v>284551949482</v>
      </c>
      <c r="V63" s="312" t="s">
        <v>59</v>
      </c>
      <c r="W63" s="283"/>
      <c r="X63" s="283"/>
      <c r="Y63" s="283"/>
      <c r="Z63" s="283"/>
      <c r="AA63" s="283"/>
      <c r="AB63" s="283"/>
      <c r="AC63" s="283"/>
      <c r="AD63" s="283"/>
      <c r="AE63" s="283"/>
      <c r="AF63" s="283"/>
      <c r="AG63" s="283"/>
      <c r="AH63" s="283"/>
      <c r="AI63" s="283"/>
      <c r="AJ63" s="283"/>
      <c r="AK63" s="283"/>
      <c r="AL63" s="283"/>
      <c r="AM63" s="283"/>
      <c r="AN63" s="283"/>
      <c r="AO63" s="283"/>
      <c r="AP63" s="283"/>
      <c r="AQ63" s="283"/>
      <c r="AR63" s="283"/>
      <c r="AS63" s="283"/>
      <c r="AT63" s="283"/>
      <c r="AU63" s="283"/>
    </row>
    <row r="64" spans="1:47" s="306" customFormat="1" ht="25" customHeight="1" x14ac:dyDescent="0.35">
      <c r="A64" s="326" t="s">
        <v>14</v>
      </c>
      <c r="B64" s="326"/>
      <c r="C64" s="350">
        <f>C63/B63-1</f>
        <v>0.58439481705087903</v>
      </c>
      <c r="D64" s="350">
        <f t="shared" ref="D64:F64" si="33">D63/C63-1</f>
        <v>0.65037093617597219</v>
      </c>
      <c r="E64" s="350">
        <f t="shared" si="33"/>
        <v>-0.34426978534799391</v>
      </c>
      <c r="F64" s="350">
        <f t="shared" si="33"/>
        <v>2.0520044392151009</v>
      </c>
      <c r="G64" s="347">
        <f>(1+G66)*(1+G68)-1</f>
        <v>-1.7121362930883066E-3</v>
      </c>
      <c r="H64" s="347">
        <f t="shared" ref="H64:K64" si="34">(1+H66)*(1+H68)-1</f>
        <v>-1.7121362930883066E-3</v>
      </c>
      <c r="I64" s="347">
        <f t="shared" si="34"/>
        <v>-0.17768534282669723</v>
      </c>
      <c r="J64" s="347">
        <f>(1+J66)*(1+J68)-1</f>
        <v>-0.34103504182961752</v>
      </c>
      <c r="K64" s="347">
        <f t="shared" si="34"/>
        <v>-0.5798414100585505</v>
      </c>
      <c r="L64" s="574"/>
      <c r="M64" s="574"/>
      <c r="N64" s="574"/>
      <c r="O64" s="574"/>
      <c r="P64" s="574"/>
      <c r="Q64" s="574"/>
      <c r="R64" s="574"/>
      <c r="S64" s="574"/>
      <c r="T64" s="289"/>
      <c r="U64" s="309">
        <v>1917959357037</v>
      </c>
      <c r="V64" s="283" t="s">
        <v>60</v>
      </c>
      <c r="W64" s="283"/>
      <c r="X64" s="283"/>
      <c r="Y64" s="283"/>
      <c r="Z64" s="283"/>
      <c r="AA64" s="283"/>
      <c r="AB64" s="283"/>
      <c r="AC64" s="283"/>
      <c r="AD64" s="283"/>
      <c r="AE64" s="283"/>
      <c r="AF64" s="283"/>
      <c r="AG64" s="283"/>
      <c r="AH64" s="283"/>
      <c r="AI64" s="283"/>
      <c r="AJ64" s="283"/>
      <c r="AK64" s="283"/>
      <c r="AL64" s="283"/>
      <c r="AM64" s="283"/>
      <c r="AN64" s="283"/>
      <c r="AO64" s="283"/>
      <c r="AP64" s="283"/>
      <c r="AQ64" s="283"/>
      <c r="AR64" s="283"/>
      <c r="AS64" s="283"/>
      <c r="AT64" s="283"/>
      <c r="AU64" s="283"/>
    </row>
    <row r="65" spans="1:47" s="306" customFormat="1" ht="25" customHeight="1" x14ac:dyDescent="0.35">
      <c r="A65" s="326" t="s">
        <v>61</v>
      </c>
      <c r="B65" s="351">
        <f>B90/1000000000</f>
        <v>51.367418852</v>
      </c>
      <c r="C65" s="351">
        <f>C90/1000000000</f>
        <v>108.824893987</v>
      </c>
      <c r="D65" s="351">
        <f>D90/1000000000</f>
        <v>143.81846517700001</v>
      </c>
      <c r="E65" s="351">
        <f>E90/1000000000</f>
        <v>88.799090663000001</v>
      </c>
      <c r="F65" s="351">
        <f>F90/1000000000</f>
        <v>166.03909174399999</v>
      </c>
      <c r="G65" s="326"/>
      <c r="H65" s="326"/>
      <c r="I65" s="326"/>
      <c r="J65" s="326"/>
      <c r="K65" s="326"/>
      <c r="L65" s="572"/>
      <c r="M65" s="572"/>
      <c r="N65" s="572"/>
      <c r="O65" s="572"/>
      <c r="P65" s="572"/>
      <c r="Q65" s="572"/>
      <c r="R65" s="572"/>
      <c r="S65" s="572"/>
      <c r="T65" s="289"/>
      <c r="U65" s="283"/>
      <c r="V65" s="310">
        <f>SUM(U57,U59:U61,U63:U64)-U58-U62</f>
        <v>51354195901307</v>
      </c>
      <c r="W65" s="283"/>
      <c r="X65" s="283"/>
      <c r="Y65" s="283"/>
      <c r="Z65" s="283"/>
      <c r="AA65" s="283"/>
      <c r="AB65" s="283"/>
      <c r="AC65" s="283"/>
      <c r="AD65" s="283"/>
      <c r="AE65" s="283"/>
      <c r="AF65" s="283"/>
      <c r="AG65" s="283"/>
      <c r="AH65" s="283"/>
      <c r="AI65" s="283"/>
      <c r="AJ65" s="283"/>
      <c r="AK65" s="283"/>
      <c r="AL65" s="283"/>
      <c r="AM65" s="283"/>
      <c r="AN65" s="283"/>
      <c r="AO65" s="283"/>
      <c r="AP65" s="283"/>
      <c r="AQ65" s="283"/>
      <c r="AR65" s="283"/>
      <c r="AS65" s="283"/>
      <c r="AT65" s="283"/>
      <c r="AU65" s="283"/>
    </row>
    <row r="66" spans="1:47" s="306" customFormat="1" ht="25" customHeight="1" x14ac:dyDescent="0.35">
      <c r="A66" s="326"/>
      <c r="B66" s="351"/>
      <c r="C66" s="328">
        <f>C65/B65-1</f>
        <v>1.1185587366292764</v>
      </c>
      <c r="D66" s="328">
        <f t="shared" ref="D66:F66" si="35">D65/C65-1</f>
        <v>0.32155851393873425</v>
      </c>
      <c r="E66" s="328">
        <f t="shared" si="35"/>
        <v>-0.38256126879317376</v>
      </c>
      <c r="F66" s="328">
        <f t="shared" si="35"/>
        <v>0.86982873928441751</v>
      </c>
      <c r="G66" s="329">
        <f>AVERAGE($C$66:$E$66)</f>
        <v>0.35251866059161224</v>
      </c>
      <c r="H66" s="329">
        <f>AVERAGE($C$66:$E$66)</f>
        <v>0.35251866059161224</v>
      </c>
      <c r="I66" s="328">
        <f>H66*(1-H66)</f>
        <v>0.22824925452630795</v>
      </c>
      <c r="J66" s="328">
        <f t="shared" ref="J66:K68" si="36">I66*(1-I66)</f>
        <v>0.17615153233449266</v>
      </c>
      <c r="K66" s="328">
        <f t="shared" si="36"/>
        <v>0.14512216999070285</v>
      </c>
      <c r="L66" s="570"/>
      <c r="M66" s="570"/>
      <c r="N66" s="570"/>
      <c r="O66" s="570"/>
      <c r="P66" s="570"/>
      <c r="Q66" s="570"/>
      <c r="R66" s="570"/>
      <c r="S66" s="570"/>
      <c r="T66" s="289">
        <f>(1+G66)*(1+G68)-1</f>
        <v>-1.7121362930883066E-3</v>
      </c>
      <c r="U66" s="290">
        <f>AVERAGE($C$66:$F$66)</f>
        <v>0.48184618026481357</v>
      </c>
      <c r="V66" s="285">
        <f>F3*1000000000</f>
        <v>59956247000000</v>
      </c>
      <c r="W66" s="283"/>
      <c r="X66" s="283"/>
      <c r="Y66" s="283"/>
      <c r="Z66" s="283"/>
      <c r="AA66" s="283"/>
      <c r="AB66" s="283"/>
      <c r="AC66" s="283"/>
      <c r="AD66" s="283"/>
      <c r="AE66" s="283"/>
      <c r="AF66" s="283"/>
      <c r="AG66" s="283"/>
      <c r="AH66" s="283"/>
      <c r="AI66" s="283"/>
      <c r="AJ66" s="283"/>
      <c r="AK66" s="283"/>
      <c r="AL66" s="283"/>
      <c r="AM66" s="283"/>
      <c r="AN66" s="283"/>
      <c r="AO66" s="283"/>
      <c r="AP66" s="283"/>
      <c r="AQ66" s="283"/>
      <c r="AR66" s="283"/>
      <c r="AS66" s="283"/>
      <c r="AT66" s="283"/>
      <c r="AU66" s="283"/>
    </row>
    <row r="67" spans="1:47" s="306" customFormat="1" ht="25" customHeight="1" x14ac:dyDescent="0.35">
      <c r="A67" s="326" t="s">
        <v>62</v>
      </c>
      <c r="B67" s="351">
        <f>B91/1000000000</f>
        <v>1.30984558</v>
      </c>
      <c r="C67" s="351">
        <f>C91/1000000000</f>
        <v>0.20915446700000001</v>
      </c>
      <c r="D67" s="351">
        <f>D91/1000000000</f>
        <v>0.21159963900000001</v>
      </c>
      <c r="E67" s="351">
        <f>E91/1000000000</f>
        <v>0.22068083299999999</v>
      </c>
      <c r="F67" s="351">
        <f>F91/1000000000</f>
        <v>0.84191704099999998</v>
      </c>
      <c r="G67" s="326"/>
      <c r="H67" s="326"/>
      <c r="I67" s="326"/>
      <c r="J67" s="326"/>
      <c r="K67" s="326"/>
      <c r="L67" s="572"/>
      <c r="M67" s="572"/>
      <c r="N67" s="572"/>
      <c r="O67" s="572"/>
      <c r="P67" s="572"/>
      <c r="Q67" s="572"/>
      <c r="R67" s="572"/>
      <c r="S67" s="572"/>
      <c r="T67" s="289"/>
      <c r="U67" s="283"/>
      <c r="V67" s="285">
        <f>V66-V65</f>
        <v>8602051098693</v>
      </c>
      <c r="W67" s="283"/>
      <c r="X67" s="283"/>
      <c r="Y67" s="283"/>
      <c r="Z67" s="283"/>
      <c r="AA67" s="283"/>
      <c r="AB67" s="283"/>
      <c r="AC67" s="283"/>
      <c r="AD67" s="283"/>
      <c r="AE67" s="283"/>
      <c r="AF67" s="283"/>
      <c r="AG67" s="283"/>
      <c r="AH67" s="283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283"/>
      <c r="AT67" s="283"/>
      <c r="AU67" s="283"/>
    </row>
    <row r="68" spans="1:47" s="316" customFormat="1" ht="25" customHeight="1" x14ac:dyDescent="0.35">
      <c r="A68" s="326"/>
      <c r="B68" s="326"/>
      <c r="C68" s="328">
        <f>C67/B67-1</f>
        <v>-0.84032127894037711</v>
      </c>
      <c r="D68" s="328">
        <f t="shared" ref="D68" si="37">D67/C67-1</f>
        <v>1.1690747202640406E-2</v>
      </c>
      <c r="E68" s="328">
        <f t="shared" ref="E68" si="38">E67/D67-1</f>
        <v>4.2916869059497653E-2</v>
      </c>
      <c r="F68" s="328">
        <f t="shared" ref="F68" si="39">F67/E67-1</f>
        <v>2.8150891020064259</v>
      </c>
      <c r="G68" s="329">
        <f>AVERAGE($C$68:$E$68)</f>
        <v>-0.26190455422607967</v>
      </c>
      <c r="H68" s="329">
        <f>AVERAGE($C$68:$E$68)</f>
        <v>-0.26190455422607967</v>
      </c>
      <c r="I68" s="328">
        <f>H68*(1-H68)</f>
        <v>-0.33049854975044118</v>
      </c>
      <c r="J68" s="328">
        <f t="shared" si="36"/>
        <v>-0.43972784113758601</v>
      </c>
      <c r="K68" s="328">
        <f t="shared" si="36"/>
        <v>-0.6330884154091081</v>
      </c>
      <c r="L68" s="570"/>
      <c r="M68" s="570"/>
      <c r="N68" s="570"/>
      <c r="O68" s="570"/>
      <c r="P68" s="570"/>
      <c r="Q68" s="570"/>
      <c r="R68" s="570"/>
      <c r="S68" s="570"/>
      <c r="T68" s="317"/>
      <c r="U68" s="316" t="s">
        <v>63</v>
      </c>
      <c r="V68" s="316">
        <v>2022</v>
      </c>
      <c r="W68" s="316">
        <v>2023</v>
      </c>
    </row>
    <row r="69" spans="1:47" s="306" customFormat="1" ht="25" customHeight="1" x14ac:dyDescent="0.35">
      <c r="A69" s="461" t="s">
        <v>64</v>
      </c>
      <c r="B69" s="461"/>
      <c r="C69" s="461"/>
      <c r="D69" s="461"/>
      <c r="E69" s="461"/>
      <c r="F69" s="461"/>
      <c r="G69" s="461"/>
      <c r="H69" s="461"/>
      <c r="I69" s="461"/>
      <c r="J69" s="461"/>
      <c r="K69" s="461"/>
      <c r="L69" s="567"/>
      <c r="M69" s="567"/>
      <c r="N69" s="567"/>
      <c r="O69" s="567"/>
      <c r="P69" s="567"/>
      <c r="Q69" s="567"/>
      <c r="R69" s="567"/>
      <c r="S69" s="567"/>
      <c r="T69" s="289"/>
      <c r="U69" s="283"/>
      <c r="V69" s="283">
        <v>112812544948</v>
      </c>
      <c r="W69" s="283">
        <v>257863234094</v>
      </c>
      <c r="X69" s="283"/>
      <c r="Y69" s="283"/>
      <c r="Z69" s="283"/>
      <c r="AA69" s="283"/>
      <c r="AB69" s="283"/>
      <c r="AC69" s="283"/>
      <c r="AD69" s="283"/>
      <c r="AE69" s="283"/>
      <c r="AF69" s="283"/>
      <c r="AG69" s="283"/>
      <c r="AH69" s="283"/>
      <c r="AI69" s="283"/>
      <c r="AJ69" s="283"/>
      <c r="AK69" s="283"/>
      <c r="AL69" s="283"/>
      <c r="AM69" s="283"/>
      <c r="AN69" s="283"/>
      <c r="AO69" s="283"/>
      <c r="AP69" s="283"/>
      <c r="AQ69" s="283"/>
      <c r="AR69" s="283"/>
      <c r="AS69" s="283"/>
      <c r="AT69" s="283"/>
      <c r="AU69" s="283"/>
    </row>
    <row r="70" spans="1:47" s="306" customFormat="1" ht="25" customHeight="1" x14ac:dyDescent="0.35">
      <c r="A70" s="325" t="s">
        <v>64</v>
      </c>
      <c r="B70" s="325">
        <f>SUM(B72:B73)/1000000000</f>
        <v>13399.237138222999</v>
      </c>
      <c r="C70" s="325">
        <f t="shared" ref="C70:F70" si="40">SUM(C72:C73)/1000000000</f>
        <v>14389.756969807</v>
      </c>
      <c r="D70" s="325">
        <f t="shared" si="40"/>
        <v>1958.1554562849999</v>
      </c>
      <c r="E70" s="325">
        <f t="shared" si="40"/>
        <v>14517.982829389</v>
      </c>
      <c r="F70" s="325">
        <f t="shared" si="40"/>
        <v>14144.057927948999</v>
      </c>
      <c r="G70" s="325">
        <f>F70*(1+$F$75)</f>
        <v>14413.165269087327</v>
      </c>
      <c r="H70" s="325">
        <f>G70*(1+$F$75)</f>
        <v>14687.392693968486</v>
      </c>
      <c r="I70" s="325">
        <f>H70*(1+$F$75)</f>
        <v>14966.837618208945</v>
      </c>
      <c r="J70" s="325">
        <f>I70*(1+$F$75)</f>
        <v>15251.599310871878</v>
      </c>
      <c r="K70" s="325">
        <f>J70*(1+$F$75)</f>
        <v>15541.778929731163</v>
      </c>
      <c r="L70" s="568"/>
      <c r="M70" s="568"/>
      <c r="N70" s="568"/>
      <c r="O70" s="568"/>
      <c r="P70" s="568"/>
      <c r="Q70" s="568"/>
      <c r="R70" s="568"/>
      <c r="S70" s="568"/>
      <c r="T70" s="289"/>
      <c r="U70" s="283"/>
      <c r="V70" s="284">
        <f>W69/V69-1</f>
        <v>1.2857673693369822</v>
      </c>
      <c r="W70" s="283"/>
      <c r="X70" s="283"/>
      <c r="Y70" s="283"/>
      <c r="Z70" s="283"/>
      <c r="AA70" s="283"/>
      <c r="AB70" s="283"/>
      <c r="AC70" s="283"/>
      <c r="AD70" s="283"/>
      <c r="AE70" s="283"/>
      <c r="AF70" s="283"/>
      <c r="AG70" s="283"/>
      <c r="AH70" s="283"/>
      <c r="AI70" s="283"/>
      <c r="AJ70" s="283"/>
      <c r="AK70" s="283"/>
      <c r="AL70" s="283"/>
      <c r="AM70" s="283"/>
      <c r="AN70" s="283"/>
      <c r="AO70" s="283"/>
      <c r="AP70" s="283"/>
      <c r="AQ70" s="283"/>
      <c r="AR70" s="283"/>
      <c r="AS70" s="283"/>
      <c r="AT70" s="283"/>
      <c r="AU70" s="283"/>
    </row>
    <row r="71" spans="1:47" s="306" customFormat="1" ht="25" customHeight="1" x14ac:dyDescent="0.35">
      <c r="A71" s="326"/>
      <c r="B71" s="349"/>
      <c r="C71" s="350">
        <f>C70/B70-1</f>
        <v>7.3923598885970776E-2</v>
      </c>
      <c r="D71" s="350">
        <f t="shared" ref="D71:F71" si="41">D70/C70-1</f>
        <v>-0.8639201856991986</v>
      </c>
      <c r="E71" s="350">
        <f t="shared" si="41"/>
        <v>6.4141114704613011</v>
      </c>
      <c r="F71" s="350">
        <f t="shared" si="41"/>
        <v>-2.5755981794045035E-2</v>
      </c>
      <c r="G71" s="326"/>
      <c r="H71" s="326"/>
      <c r="I71" s="326"/>
      <c r="J71" s="326"/>
      <c r="K71" s="326"/>
      <c r="L71" s="572"/>
      <c r="M71" s="572"/>
      <c r="N71" s="572"/>
      <c r="O71" s="572"/>
      <c r="P71" s="572"/>
      <c r="Q71" s="572"/>
      <c r="R71" s="572"/>
      <c r="S71" s="572"/>
      <c r="T71" s="289"/>
      <c r="U71" s="283"/>
      <c r="V71" s="283"/>
      <c r="W71" s="283"/>
      <c r="X71" s="283"/>
      <c r="Y71" s="283"/>
      <c r="Z71" s="283"/>
      <c r="AA71" s="283"/>
      <c r="AB71" s="283"/>
      <c r="AC71" s="283"/>
      <c r="AD71" s="283"/>
      <c r="AE71" s="283"/>
      <c r="AF71" s="283"/>
      <c r="AG71" s="283"/>
      <c r="AH71" s="283"/>
      <c r="AI71" s="283"/>
      <c r="AJ71" s="283"/>
      <c r="AK71" s="283"/>
      <c r="AL71" s="283"/>
      <c r="AM71" s="283"/>
      <c r="AN71" s="283"/>
      <c r="AO71" s="283"/>
      <c r="AP71" s="283"/>
      <c r="AQ71" s="283"/>
      <c r="AR71" s="283"/>
      <c r="AS71" s="283"/>
      <c r="AT71" s="283"/>
      <c r="AU71" s="283"/>
    </row>
    <row r="72" spans="1:47" s="306" customFormat="1" ht="25" customHeight="1" x14ac:dyDescent="0.35">
      <c r="A72" s="326" t="s">
        <v>65</v>
      </c>
      <c r="B72" s="349">
        <v>1133300231790</v>
      </c>
      <c r="C72" s="349">
        <v>1396302416955</v>
      </c>
      <c r="D72" s="349">
        <v>1958155456285</v>
      </c>
      <c r="E72" s="349">
        <v>1567312426985</v>
      </c>
      <c r="F72" s="349">
        <v>1595845681078</v>
      </c>
      <c r="G72" s="326"/>
      <c r="H72" s="326"/>
      <c r="I72" s="326"/>
      <c r="J72" s="326"/>
      <c r="K72" s="326"/>
      <c r="L72" s="572"/>
      <c r="M72" s="572"/>
      <c r="N72" s="572"/>
      <c r="O72" s="572"/>
      <c r="P72" s="572"/>
      <c r="Q72" s="572"/>
      <c r="R72" s="572"/>
      <c r="S72" s="572"/>
      <c r="T72" s="289"/>
      <c r="U72" s="283"/>
      <c r="V72" s="283"/>
      <c r="W72" s="283"/>
      <c r="X72" s="283"/>
      <c r="Y72" s="283"/>
      <c r="Z72" s="283"/>
      <c r="AA72" s="283"/>
      <c r="AB72" s="283"/>
      <c r="AC72" s="283"/>
      <c r="AD72" s="283"/>
      <c r="AE72" s="283"/>
      <c r="AF72" s="283"/>
      <c r="AG72" s="283"/>
      <c r="AH72" s="283"/>
      <c r="AI72" s="283"/>
      <c r="AJ72" s="283"/>
      <c r="AK72" s="283"/>
      <c r="AL72" s="283"/>
      <c r="AM72" s="283"/>
      <c r="AN72" s="283"/>
      <c r="AO72" s="283"/>
      <c r="AP72" s="283"/>
      <c r="AQ72" s="283"/>
      <c r="AR72" s="283"/>
      <c r="AS72" s="283"/>
      <c r="AT72" s="283"/>
      <c r="AU72" s="283"/>
    </row>
    <row r="73" spans="1:47" s="306" customFormat="1" ht="25" customHeight="1" x14ac:dyDescent="0.35">
      <c r="A73" s="326" t="s">
        <v>66</v>
      </c>
      <c r="B73" s="349">
        <v>12265936906433</v>
      </c>
      <c r="C73" s="349">
        <v>12993454552852</v>
      </c>
      <c r="D73" s="352" t="s">
        <v>67</v>
      </c>
      <c r="E73" s="349">
        <v>12950670402404</v>
      </c>
      <c r="F73" s="349">
        <v>12548212246871</v>
      </c>
      <c r="G73" s="326"/>
      <c r="H73" s="326"/>
      <c r="I73" s="326"/>
      <c r="J73" s="326"/>
      <c r="K73" s="326"/>
      <c r="L73" s="572"/>
      <c r="M73" s="572"/>
      <c r="N73" s="572"/>
      <c r="O73" s="572"/>
      <c r="P73" s="572"/>
      <c r="Q73" s="572"/>
      <c r="R73" s="572"/>
      <c r="S73" s="572"/>
      <c r="T73" s="289"/>
      <c r="U73" s="283"/>
      <c r="V73" s="283"/>
      <c r="W73" s="283"/>
      <c r="X73" s="283"/>
      <c r="Y73" s="283"/>
      <c r="Z73" s="283"/>
      <c r="AA73" s="283"/>
      <c r="AB73" s="283"/>
      <c r="AC73" s="283"/>
      <c r="AD73" s="283"/>
      <c r="AE73" s="283"/>
      <c r="AF73" s="283"/>
      <c r="AG73" s="283"/>
      <c r="AH73" s="283"/>
      <c r="AI73" s="283"/>
      <c r="AJ73" s="283"/>
      <c r="AK73" s="283"/>
      <c r="AL73" s="283"/>
      <c r="AM73" s="283"/>
      <c r="AN73" s="283"/>
      <c r="AO73" s="283"/>
      <c r="AP73" s="283"/>
      <c r="AQ73" s="283"/>
      <c r="AR73" s="283"/>
      <c r="AS73" s="283"/>
      <c r="AT73" s="283"/>
      <c r="AU73" s="283"/>
    </row>
    <row r="74" spans="1:47" s="306" customFormat="1" ht="25" customHeight="1" x14ac:dyDescent="0.35">
      <c r="A74" s="326" t="s">
        <v>68</v>
      </c>
      <c r="B74" s="353">
        <f>B70</f>
        <v>13399.237138222999</v>
      </c>
      <c r="C74" s="353">
        <f>C70</f>
        <v>14389.756969807</v>
      </c>
      <c r="D74" s="351">
        <f>E70</f>
        <v>14517.982829389</v>
      </c>
      <c r="E74" s="351">
        <f>F70</f>
        <v>14144.057927948999</v>
      </c>
      <c r="F74" s="350" t="s">
        <v>69</v>
      </c>
      <c r="G74" s="326"/>
      <c r="H74" s="326"/>
      <c r="I74" s="326"/>
      <c r="J74" s="326"/>
      <c r="K74" s="326"/>
      <c r="L74" s="572"/>
      <c r="M74" s="572"/>
      <c r="N74" s="572"/>
      <c r="O74" s="572"/>
      <c r="P74" s="572"/>
      <c r="Q74" s="572"/>
      <c r="R74" s="572"/>
      <c r="S74" s="572"/>
      <c r="T74" s="289"/>
      <c r="U74" s="283"/>
      <c r="V74" s="283"/>
      <c r="W74" s="283"/>
      <c r="X74" s="283"/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3"/>
      <c r="AL74" s="283"/>
      <c r="AM74" s="283"/>
      <c r="AN74" s="283"/>
      <c r="AO74" s="283"/>
      <c r="AP74" s="283"/>
      <c r="AQ74" s="283"/>
      <c r="AR74" s="283"/>
      <c r="AS74" s="283"/>
      <c r="AT74" s="283"/>
      <c r="AU74" s="283"/>
    </row>
    <row r="75" spans="1:47" s="312" customFormat="1" ht="25" customHeight="1" x14ac:dyDescent="0.35">
      <c r="A75" s="326"/>
      <c r="B75" s="326"/>
      <c r="C75" s="350">
        <f>C74/B74-1</f>
        <v>7.3923598885970776E-2</v>
      </c>
      <c r="D75" s="350">
        <f t="shared" ref="D75:E75" si="42">D74/C74-1</f>
        <v>8.9109121058157381E-3</v>
      </c>
      <c r="E75" s="350">
        <f t="shared" si="42"/>
        <v>-2.5755981794045035E-2</v>
      </c>
      <c r="F75" s="350">
        <f>AVERAGE(C75:E75)</f>
        <v>1.9026176399247158E-2</v>
      </c>
      <c r="G75" s="326">
        <f>G70/G3</f>
        <v>0.23812255993327427</v>
      </c>
      <c r="H75" s="326">
        <f>H70/H3</f>
        <v>0.23989823712254399</v>
      </c>
      <c r="I75" s="326">
        <f>I70/I3</f>
        <v>0.24138738770699422</v>
      </c>
      <c r="J75" s="326">
        <f>J70/J3</f>
        <v>0.24259190021357255</v>
      </c>
      <c r="K75" s="326">
        <f>K70/K3</f>
        <v>0.24351374439322587</v>
      </c>
      <c r="L75" s="572"/>
      <c r="M75" s="572"/>
      <c r="N75" s="572"/>
      <c r="O75" s="572"/>
      <c r="P75" s="572"/>
      <c r="Q75" s="572"/>
      <c r="R75" s="572"/>
      <c r="S75" s="572"/>
      <c r="T75" s="314"/>
    </row>
    <row r="76" spans="1:47" s="306" customFormat="1" ht="25" customHeight="1" x14ac:dyDescent="0.35">
      <c r="A76" s="461" t="s">
        <v>70</v>
      </c>
      <c r="B76" s="461"/>
      <c r="C76" s="461"/>
      <c r="D76" s="461"/>
      <c r="E76" s="461"/>
      <c r="F76" s="461"/>
      <c r="G76" s="461"/>
      <c r="H76" s="461"/>
      <c r="I76" s="461"/>
      <c r="J76" s="461"/>
      <c r="K76" s="461"/>
      <c r="L76" s="567"/>
      <c r="M76" s="567"/>
      <c r="N76" s="567"/>
      <c r="O76" s="567"/>
      <c r="P76" s="567"/>
      <c r="Q76" s="567"/>
      <c r="R76" s="567"/>
      <c r="S76" s="567"/>
      <c r="T76" s="289"/>
      <c r="U76" s="283"/>
      <c r="V76" s="283"/>
      <c r="W76" s="283"/>
      <c r="X76" s="283"/>
      <c r="Y76" s="283"/>
      <c r="Z76" s="283"/>
      <c r="AA76" s="283"/>
      <c r="AB76" s="283"/>
      <c r="AC76" s="283"/>
      <c r="AD76" s="283"/>
      <c r="AE76" s="283"/>
      <c r="AF76" s="283"/>
      <c r="AG76" s="283"/>
      <c r="AH76" s="283"/>
      <c r="AI76" s="283"/>
      <c r="AJ76" s="283"/>
      <c r="AK76" s="283"/>
      <c r="AL76" s="283"/>
      <c r="AM76" s="283"/>
      <c r="AN76" s="283"/>
      <c r="AO76" s="283"/>
      <c r="AP76" s="283"/>
      <c r="AQ76" s="283"/>
      <c r="AR76" s="283"/>
      <c r="AS76" s="283"/>
      <c r="AT76" s="283"/>
      <c r="AU76" s="283"/>
    </row>
    <row r="77" spans="1:47" s="306" customFormat="1" ht="25" customHeight="1" x14ac:dyDescent="0.35">
      <c r="A77" s="325" t="s">
        <v>71</v>
      </c>
      <c r="B77" s="325">
        <f>B79/1000000000</f>
        <v>450.24732998000002</v>
      </c>
      <c r="C77" s="325">
        <f>C79/1000000000</f>
        <v>249.44625917900001</v>
      </c>
      <c r="D77" s="325">
        <f>D79/1000000000</f>
        <v>212.38619513500001</v>
      </c>
      <c r="E77" s="325">
        <f>E79/1000000000</f>
        <v>422.82319229000001</v>
      </c>
      <c r="F77" s="325">
        <f>F79/1000000000</f>
        <v>289.02179912700001</v>
      </c>
      <c r="G77" s="325">
        <f>F77*(1+G78)</f>
        <v>294.78965937426142</v>
      </c>
      <c r="H77" s="325">
        <f t="shared" ref="H77:K77" si="43">G77*(1+H78)</f>
        <v>300.67262585895003</v>
      </c>
      <c r="I77" s="325">
        <f t="shared" si="43"/>
        <v>306.6729956973839</v>
      </c>
      <c r="J77" s="325">
        <f t="shared" si="43"/>
        <v>312.7931118482569</v>
      </c>
      <c r="K77" s="325">
        <f t="shared" si="43"/>
        <v>319.03536402749131</v>
      </c>
      <c r="L77" s="568"/>
      <c r="M77" s="568"/>
      <c r="N77" s="568"/>
      <c r="O77" s="568"/>
      <c r="P77" s="568"/>
      <c r="Q77" s="568"/>
      <c r="R77" s="568"/>
      <c r="S77" s="568"/>
      <c r="T77" s="289"/>
      <c r="U77" s="283"/>
      <c r="V77" s="283"/>
      <c r="W77" s="283"/>
      <c r="X77" s="283"/>
      <c r="Y77" s="283"/>
      <c r="Z77" s="283"/>
      <c r="AA77" s="283"/>
      <c r="AB77" s="283"/>
      <c r="AC77" s="283"/>
      <c r="AD77" s="283"/>
      <c r="AE77" s="283"/>
      <c r="AF77" s="283"/>
      <c r="AG77" s="283"/>
      <c r="AH77" s="283"/>
      <c r="AI77" s="283"/>
      <c r="AJ77" s="283"/>
      <c r="AK77" s="283"/>
      <c r="AL77" s="283"/>
      <c r="AM77" s="283"/>
      <c r="AN77" s="283"/>
      <c r="AO77" s="283"/>
      <c r="AP77" s="283"/>
      <c r="AQ77" s="283"/>
      <c r="AR77" s="283"/>
      <c r="AS77" s="283"/>
      <c r="AT77" s="283"/>
      <c r="AU77" s="283"/>
    </row>
    <row r="78" spans="1:47" s="312" customFormat="1" ht="25" customHeight="1" x14ac:dyDescent="0.35">
      <c r="A78" s="326"/>
      <c r="B78" s="351"/>
      <c r="C78" s="328">
        <f>C77/B77-1</f>
        <v>-0.44597948156609746</v>
      </c>
      <c r="D78" s="328">
        <f t="shared" ref="D78:F78" si="44">D77/C77-1</f>
        <v>-0.14856933179104559</v>
      </c>
      <c r="E78" s="328">
        <f t="shared" si="44"/>
        <v>0.99082238853254556</v>
      </c>
      <c r="F78" s="328">
        <f t="shared" si="44"/>
        <v>-0.3164476206670096</v>
      </c>
      <c r="G78" s="329">
        <f>AVERAGE($C$78:$F$78)</f>
        <v>1.9956488627098229E-2</v>
      </c>
      <c r="H78" s="329">
        <f t="shared" ref="H78:K78" si="45">AVERAGE($C$78:$F$78)</f>
        <v>1.9956488627098229E-2</v>
      </c>
      <c r="I78" s="329">
        <f t="shared" si="45"/>
        <v>1.9956488627098229E-2</v>
      </c>
      <c r="J78" s="329">
        <f t="shared" si="45"/>
        <v>1.9956488627098229E-2</v>
      </c>
      <c r="K78" s="329">
        <f t="shared" si="45"/>
        <v>1.9956488627098229E-2</v>
      </c>
      <c r="L78" s="569"/>
      <c r="M78" s="569"/>
      <c r="N78" s="569"/>
      <c r="O78" s="569"/>
      <c r="P78" s="569"/>
      <c r="Q78" s="569"/>
      <c r="R78" s="569"/>
      <c r="S78" s="569"/>
      <c r="T78" s="314"/>
    </row>
    <row r="79" spans="1:47" s="306" customFormat="1" ht="25" customHeight="1" x14ac:dyDescent="0.35">
      <c r="A79" s="326"/>
      <c r="B79" s="349">
        <v>450247329980</v>
      </c>
      <c r="C79" s="349">
        <v>249446259179</v>
      </c>
      <c r="D79" s="349">
        <v>212386195135</v>
      </c>
      <c r="E79" s="349">
        <v>422823192290</v>
      </c>
      <c r="F79" s="349">
        <v>289021799127</v>
      </c>
      <c r="G79" s="326"/>
      <c r="H79" s="326"/>
      <c r="I79" s="326"/>
      <c r="J79" s="326"/>
      <c r="K79" s="326"/>
      <c r="L79" s="572"/>
      <c r="M79" s="572"/>
      <c r="N79" s="572"/>
      <c r="O79" s="572"/>
      <c r="P79" s="572"/>
      <c r="Q79" s="572"/>
      <c r="R79" s="572"/>
      <c r="S79" s="572"/>
      <c r="T79" s="289"/>
      <c r="U79" s="283"/>
      <c r="V79" s="283"/>
      <c r="W79" s="283"/>
      <c r="X79" s="283"/>
      <c r="Y79" s="283"/>
      <c r="Z79" s="283"/>
      <c r="AA79" s="283"/>
      <c r="AB79" s="283"/>
      <c r="AC79" s="283"/>
      <c r="AD79" s="283"/>
      <c r="AE79" s="283"/>
      <c r="AF79" s="283"/>
      <c r="AG79" s="283"/>
      <c r="AH79" s="283"/>
      <c r="AI79" s="283"/>
      <c r="AJ79" s="283"/>
      <c r="AK79" s="283"/>
      <c r="AL79" s="283"/>
      <c r="AM79" s="283"/>
      <c r="AN79" s="283"/>
      <c r="AO79" s="283"/>
      <c r="AP79" s="283"/>
      <c r="AQ79" s="283"/>
      <c r="AR79" s="283"/>
      <c r="AS79" s="283"/>
      <c r="AT79" s="283"/>
      <c r="AU79" s="283"/>
    </row>
    <row r="80" spans="1:47" s="306" customFormat="1" ht="25" customHeight="1" x14ac:dyDescent="0.35">
      <c r="A80" s="461" t="s">
        <v>72</v>
      </c>
      <c r="B80" s="461"/>
      <c r="C80" s="461"/>
      <c r="D80" s="461"/>
      <c r="E80" s="461"/>
      <c r="F80" s="461"/>
      <c r="G80" s="461"/>
      <c r="H80" s="461"/>
      <c r="I80" s="461"/>
      <c r="J80" s="461"/>
      <c r="K80" s="461"/>
      <c r="L80" s="567"/>
      <c r="M80" s="567"/>
      <c r="N80" s="567"/>
      <c r="O80" s="567"/>
      <c r="P80" s="567"/>
      <c r="Q80" s="567"/>
      <c r="R80" s="567"/>
      <c r="S80" s="567"/>
      <c r="T80" s="289"/>
      <c r="U80" s="283"/>
      <c r="V80" s="283"/>
      <c r="W80" s="283"/>
      <c r="X80" s="283"/>
      <c r="Y80" s="283"/>
      <c r="Z80" s="283"/>
      <c r="AA80" s="283"/>
      <c r="AB80" s="283"/>
      <c r="AC80" s="283"/>
      <c r="AD80" s="283"/>
      <c r="AE80" s="283"/>
      <c r="AF80" s="283"/>
      <c r="AG80" s="283"/>
      <c r="AH80" s="283"/>
      <c r="AI80" s="283"/>
      <c r="AJ80" s="283"/>
      <c r="AK80" s="283"/>
      <c r="AL80" s="283"/>
      <c r="AM80" s="283"/>
      <c r="AN80" s="283"/>
      <c r="AO80" s="283"/>
      <c r="AP80" s="283"/>
      <c r="AQ80" s="283"/>
      <c r="AR80" s="283"/>
      <c r="AS80" s="283"/>
      <c r="AT80" s="283"/>
      <c r="AU80" s="283"/>
    </row>
    <row r="81" spans="1:47" s="306" customFormat="1" ht="25" customHeight="1" x14ac:dyDescent="0.35">
      <c r="A81" s="325" t="s">
        <v>73</v>
      </c>
      <c r="B81" s="325">
        <f>B83/1000000000</f>
        <v>275.06450460899998</v>
      </c>
      <c r="C81" s="325">
        <f>C83/1000000000</f>
        <v>250.82673599399999</v>
      </c>
      <c r="D81" s="325">
        <f>D83/1000000000</f>
        <v>233.23093252699999</v>
      </c>
      <c r="E81" s="325">
        <f>E83/1000000000</f>
        <v>228.207525562</v>
      </c>
      <c r="F81" s="325">
        <f>F83/1000000000</f>
        <v>284.551949482</v>
      </c>
      <c r="G81" s="325">
        <f>F81*(1+G82)</f>
        <v>289.32486022591871</v>
      </c>
      <c r="H81" s="325">
        <f t="shared" ref="H81:K81" si="46">G81*(1+H82)</f>
        <v>294.17782902957271</v>
      </c>
      <c r="I81" s="325">
        <f t="shared" si="46"/>
        <v>299.11219874081149</v>
      </c>
      <c r="J81" s="325">
        <f t="shared" si="46"/>
        <v>304.12933473164219</v>
      </c>
      <c r="K81" s="325">
        <f t="shared" si="46"/>
        <v>309.23062527603656</v>
      </c>
      <c r="L81" s="568"/>
      <c r="M81" s="568"/>
      <c r="N81" s="568"/>
      <c r="O81" s="568"/>
      <c r="P81" s="568"/>
      <c r="Q81" s="568"/>
      <c r="R81" s="568"/>
      <c r="S81" s="568"/>
      <c r="T81" s="289"/>
      <c r="U81" s="283"/>
      <c r="V81" s="283"/>
      <c r="W81" s="283"/>
      <c r="X81" s="283"/>
      <c r="Y81" s="283"/>
      <c r="Z81" s="283"/>
      <c r="AA81" s="283"/>
      <c r="AB81" s="283"/>
      <c r="AC81" s="283"/>
      <c r="AD81" s="283"/>
      <c r="AE81" s="283"/>
      <c r="AF81" s="283"/>
      <c r="AG81" s="283"/>
      <c r="AH81" s="283"/>
      <c r="AI81" s="283"/>
      <c r="AJ81" s="283"/>
      <c r="AK81" s="283"/>
      <c r="AL81" s="283"/>
      <c r="AM81" s="283"/>
      <c r="AN81" s="283"/>
      <c r="AO81" s="283"/>
      <c r="AP81" s="283"/>
      <c r="AQ81" s="283"/>
      <c r="AR81" s="283"/>
      <c r="AS81" s="283"/>
      <c r="AT81" s="283"/>
      <c r="AU81" s="283"/>
    </row>
    <row r="82" spans="1:47" s="312" customFormat="1" ht="25" customHeight="1" x14ac:dyDescent="0.35">
      <c r="A82" s="326"/>
      <c r="B82" s="351"/>
      <c r="C82" s="328">
        <f>C81/B81-1</f>
        <v>-8.8116671576558447E-2</v>
      </c>
      <c r="D82" s="328">
        <f t="shared" ref="D82:F82" si="47">D81/C81-1</f>
        <v>-7.015122768818749E-2</v>
      </c>
      <c r="E82" s="328">
        <f t="shared" si="47"/>
        <v>-2.1538339321343858E-2</v>
      </c>
      <c r="F82" s="328">
        <f t="shared" si="47"/>
        <v>0.24689993803334143</v>
      </c>
      <c r="G82" s="329">
        <f>AVERAGE($C$82:$F$82)</f>
        <v>1.6773424861812908E-2</v>
      </c>
      <c r="H82" s="329">
        <f t="shared" ref="H82:K82" si="48">AVERAGE($C$82:$F$82)</f>
        <v>1.6773424861812908E-2</v>
      </c>
      <c r="I82" s="329">
        <f t="shared" si="48"/>
        <v>1.6773424861812908E-2</v>
      </c>
      <c r="J82" s="329">
        <f t="shared" si="48"/>
        <v>1.6773424861812908E-2</v>
      </c>
      <c r="K82" s="329">
        <f t="shared" si="48"/>
        <v>1.6773424861812908E-2</v>
      </c>
      <c r="L82" s="569"/>
      <c r="M82" s="569"/>
      <c r="N82" s="569"/>
      <c r="O82" s="569"/>
      <c r="P82" s="569"/>
      <c r="Q82" s="569"/>
      <c r="R82" s="569"/>
      <c r="S82" s="569"/>
      <c r="T82" s="314"/>
    </row>
    <row r="83" spans="1:47" s="306" customFormat="1" ht="25" customHeight="1" x14ac:dyDescent="0.35">
      <c r="A83" s="326"/>
      <c r="B83" s="349">
        <v>275064504609</v>
      </c>
      <c r="C83" s="349">
        <v>250826735994</v>
      </c>
      <c r="D83" s="349">
        <v>233230932527</v>
      </c>
      <c r="E83" s="349">
        <v>228207525562</v>
      </c>
      <c r="F83" s="349">
        <v>284551949482</v>
      </c>
      <c r="G83" s="326"/>
      <c r="H83" s="326"/>
      <c r="I83" s="326"/>
      <c r="J83" s="326"/>
      <c r="K83" s="326"/>
      <c r="L83" s="572"/>
      <c r="M83" s="572"/>
      <c r="N83" s="572"/>
      <c r="O83" s="572"/>
      <c r="P83" s="572"/>
      <c r="Q83" s="572"/>
      <c r="R83" s="572"/>
      <c r="S83" s="572"/>
      <c r="T83" s="289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</row>
    <row r="84" spans="1:47" s="306" customFormat="1" ht="25" customHeight="1" x14ac:dyDescent="0.35">
      <c r="A84" s="461" t="s">
        <v>74</v>
      </c>
      <c r="B84" s="461"/>
      <c r="C84" s="461"/>
      <c r="D84" s="461"/>
      <c r="E84" s="461"/>
      <c r="F84" s="461"/>
      <c r="G84" s="461"/>
      <c r="H84" s="461"/>
      <c r="I84" s="461"/>
      <c r="J84" s="461"/>
      <c r="K84" s="461"/>
      <c r="L84" s="567"/>
      <c r="M84" s="567"/>
      <c r="N84" s="567"/>
      <c r="O84" s="567"/>
      <c r="P84" s="567"/>
      <c r="Q84" s="567"/>
      <c r="R84" s="567"/>
      <c r="S84" s="567"/>
      <c r="T84" s="289"/>
      <c r="U84" s="283"/>
      <c r="V84" s="283"/>
      <c r="W84" s="283"/>
      <c r="X84" s="283"/>
      <c r="Y84" s="283"/>
      <c r="Z84" s="283"/>
      <c r="AA84" s="283"/>
      <c r="AB84" s="283"/>
      <c r="AC84" s="283"/>
      <c r="AD84" s="283"/>
      <c r="AE84" s="283"/>
      <c r="AF84" s="283"/>
      <c r="AG84" s="283"/>
      <c r="AH84" s="283"/>
      <c r="AI84" s="283"/>
      <c r="AJ84" s="283"/>
      <c r="AK84" s="283"/>
      <c r="AL84" s="283"/>
      <c r="AM84" s="283"/>
      <c r="AN84" s="283"/>
      <c r="AO84" s="283"/>
      <c r="AP84" s="283"/>
      <c r="AQ84" s="283"/>
      <c r="AR84" s="283"/>
      <c r="AS84" s="283"/>
      <c r="AT84" s="283"/>
      <c r="AU84" s="283"/>
    </row>
    <row r="85" spans="1:47" s="306" customFormat="1" ht="25" customHeight="1" x14ac:dyDescent="0.35">
      <c r="A85" s="325" t="s">
        <v>75</v>
      </c>
      <c r="B85" s="325">
        <f>B87/1000000000</f>
        <v>1846.066554884</v>
      </c>
      <c r="C85" s="325">
        <f t="shared" ref="C85:F85" si="49">C87/1000000000</f>
        <v>2241.377757666</v>
      </c>
      <c r="D85" s="325">
        <f t="shared" si="49"/>
        <v>2282.803852899</v>
      </c>
      <c r="E85" s="325">
        <f t="shared" si="49"/>
        <v>2289.6995144409998</v>
      </c>
      <c r="F85" s="325">
        <f t="shared" si="49"/>
        <v>1917.959357037</v>
      </c>
      <c r="G85" s="325">
        <f>F85*(1+G86)</f>
        <v>1953.0996806361595</v>
      </c>
      <c r="H85" s="325">
        <f t="shared" ref="H85:K85" si="50">G85*(1+H86)</f>
        <v>1988.883835575187</v>
      </c>
      <c r="I85" s="325">
        <f t="shared" si="50"/>
        <v>2025.3236179547368</v>
      </c>
      <c r="J85" s="325">
        <f t="shared" si="50"/>
        <v>2062.4310400003737</v>
      </c>
      <c r="K85" s="325">
        <f t="shared" si="50"/>
        <v>2100.2183340223532</v>
      </c>
      <c r="L85" s="568"/>
      <c r="M85" s="568"/>
      <c r="N85" s="568"/>
      <c r="O85" s="568"/>
      <c r="P85" s="568"/>
      <c r="Q85" s="568"/>
      <c r="R85" s="568"/>
      <c r="S85" s="568"/>
      <c r="T85" s="289"/>
      <c r="U85" s="283"/>
      <c r="V85" s="283"/>
      <c r="W85" s="283"/>
      <c r="X85" s="283"/>
      <c r="Y85" s="283"/>
      <c r="Z85" s="283"/>
      <c r="AA85" s="283"/>
      <c r="AB85" s="283"/>
      <c r="AC85" s="283"/>
      <c r="AD85" s="283"/>
      <c r="AE85" s="283"/>
      <c r="AF85" s="283"/>
      <c r="AG85" s="283"/>
      <c r="AH85" s="283"/>
      <c r="AI85" s="283"/>
      <c r="AJ85" s="283"/>
      <c r="AK85" s="283"/>
      <c r="AL85" s="283"/>
      <c r="AM85" s="283"/>
      <c r="AN85" s="283"/>
      <c r="AO85" s="283"/>
      <c r="AP85" s="283"/>
      <c r="AQ85" s="283"/>
      <c r="AR85" s="283"/>
      <c r="AS85" s="283"/>
      <c r="AT85" s="283"/>
      <c r="AU85" s="283"/>
    </row>
    <row r="86" spans="1:47" s="306" customFormat="1" ht="25" customHeight="1" x14ac:dyDescent="0.35">
      <c r="A86" s="326"/>
      <c r="B86" s="326"/>
      <c r="C86" s="350">
        <f>C85/B85-1</f>
        <v>0.21413702649893884</v>
      </c>
      <c r="D86" s="350">
        <f t="shared" ref="D86:F86" si="51">D85/C85-1</f>
        <v>1.8482424522735519E-2</v>
      </c>
      <c r="E86" s="350">
        <f t="shared" si="51"/>
        <v>3.0206982230394086E-3</v>
      </c>
      <c r="F86" s="350">
        <f t="shared" si="51"/>
        <v>-0.16235324987381816</v>
      </c>
      <c r="G86" s="354">
        <f>AVERAGE($C$86:$F$86)</f>
        <v>1.8321724842723902E-2</v>
      </c>
      <c r="H86" s="354">
        <f t="shared" ref="H86:K86" si="52">AVERAGE($C$86:$F$86)</f>
        <v>1.8321724842723902E-2</v>
      </c>
      <c r="I86" s="354">
        <f t="shared" si="52"/>
        <v>1.8321724842723902E-2</v>
      </c>
      <c r="J86" s="354">
        <f t="shared" si="52"/>
        <v>1.8321724842723902E-2</v>
      </c>
      <c r="K86" s="354">
        <f t="shared" si="52"/>
        <v>1.8321724842723902E-2</v>
      </c>
      <c r="L86" s="575"/>
      <c r="M86" s="575"/>
      <c r="N86" s="575"/>
      <c r="O86" s="575"/>
      <c r="P86" s="575"/>
      <c r="Q86" s="575"/>
      <c r="R86" s="575"/>
      <c r="S86" s="575"/>
      <c r="T86" s="289"/>
      <c r="U86" s="283"/>
      <c r="V86" s="283"/>
      <c r="W86" s="283"/>
      <c r="X86" s="283"/>
      <c r="Y86" s="283"/>
      <c r="Z86" s="283"/>
      <c r="AA86" s="283"/>
      <c r="AB86" s="283"/>
      <c r="AC86" s="283"/>
      <c r="AD86" s="283"/>
      <c r="AE86" s="283"/>
      <c r="AF86" s="283"/>
      <c r="AG86" s="283"/>
      <c r="AH86" s="283"/>
      <c r="AI86" s="283"/>
      <c r="AJ86" s="283"/>
      <c r="AK86" s="283"/>
      <c r="AL86" s="283"/>
      <c r="AM86" s="283"/>
      <c r="AN86" s="283"/>
      <c r="AO86" s="283"/>
      <c r="AP86" s="283"/>
      <c r="AQ86" s="283"/>
      <c r="AR86" s="283"/>
      <c r="AS86" s="283"/>
      <c r="AT86" s="283"/>
      <c r="AU86" s="283"/>
    </row>
    <row r="87" spans="1:47" s="306" customFormat="1" ht="100.5" customHeight="1" x14ac:dyDescent="0.35">
      <c r="A87" s="326"/>
      <c r="B87" s="349">
        <v>1846066554884</v>
      </c>
      <c r="C87" s="349">
        <v>2241377757666</v>
      </c>
      <c r="D87" s="349">
        <v>2282803852899</v>
      </c>
      <c r="E87" s="349">
        <v>2289699514441</v>
      </c>
      <c r="F87" s="349">
        <v>1917959357037</v>
      </c>
      <c r="G87" s="326"/>
      <c r="H87" s="326"/>
      <c r="I87" s="326"/>
      <c r="J87" s="326"/>
      <c r="K87" s="326"/>
      <c r="L87" s="572"/>
      <c r="M87" s="572"/>
      <c r="N87" s="572"/>
      <c r="O87" s="572"/>
      <c r="P87" s="572"/>
      <c r="Q87" s="572"/>
      <c r="R87" s="572"/>
      <c r="S87" s="572"/>
      <c r="T87" s="289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1:47" s="306" customFormat="1" ht="25" customHeight="1" x14ac:dyDescent="0.35">
      <c r="A88" s="326"/>
      <c r="B88" s="296">
        <v>2018</v>
      </c>
      <c r="C88" s="296">
        <v>2019</v>
      </c>
      <c r="D88" s="296">
        <v>2020</v>
      </c>
      <c r="E88" s="296">
        <v>2021</v>
      </c>
      <c r="F88" s="296">
        <v>2022</v>
      </c>
      <c r="G88" s="296" t="s">
        <v>4</v>
      </c>
      <c r="H88" s="296" t="s">
        <v>5</v>
      </c>
      <c r="I88" s="296" t="s">
        <v>6</v>
      </c>
      <c r="J88" s="296" t="s">
        <v>7</v>
      </c>
      <c r="K88" s="296" t="s">
        <v>8</v>
      </c>
      <c r="L88" s="565"/>
      <c r="M88" s="565"/>
      <c r="N88" s="565"/>
      <c r="O88" s="565"/>
      <c r="P88" s="565"/>
      <c r="Q88" s="565"/>
      <c r="R88" s="565"/>
      <c r="S88" s="565"/>
      <c r="T88" s="289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1:47" s="306" customFormat="1" ht="25" customHeight="1" x14ac:dyDescent="0.35">
      <c r="A89" s="303" t="s">
        <v>76</v>
      </c>
      <c r="B89" s="303">
        <f t="shared" ref="B89:K89" si="53">B3-B48</f>
        <v>10183.196020089999</v>
      </c>
      <c r="C89" s="303">
        <f t="shared" si="53"/>
        <v>10560.048709249997</v>
      </c>
      <c r="D89" s="303">
        <f t="shared" si="53"/>
        <v>24679.342442066998</v>
      </c>
      <c r="E89" s="303">
        <f t="shared" si="53"/>
        <v>10677.580556220993</v>
      </c>
      <c r="F89" s="303">
        <f t="shared" si="53"/>
        <v>8602.0510986930094</v>
      </c>
      <c r="G89" s="303">
        <f t="shared" si="53"/>
        <v>11460.362365186556</v>
      </c>
      <c r="H89" s="303">
        <f t="shared" si="53"/>
        <v>11477.489149209847</v>
      </c>
      <c r="I89" s="303">
        <f t="shared" si="53"/>
        <v>11338.243432924224</v>
      </c>
      <c r="J89" s="303">
        <f t="shared" si="53"/>
        <v>11584.563712509269</v>
      </c>
      <c r="K89" s="303">
        <f t="shared" si="53"/>
        <v>11885.685452146543</v>
      </c>
      <c r="L89" s="566"/>
      <c r="M89" s="566"/>
      <c r="N89" s="566"/>
      <c r="O89" s="566"/>
      <c r="P89" s="566"/>
      <c r="Q89" s="566"/>
      <c r="R89" s="566"/>
      <c r="S89" s="566"/>
      <c r="T89" s="289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1:47" ht="25" customHeight="1" x14ac:dyDescent="0.35">
      <c r="A90" s="330" t="s">
        <v>61</v>
      </c>
      <c r="B90" s="335">
        <v>51367418852</v>
      </c>
      <c r="C90" s="335">
        <v>108824893987</v>
      </c>
      <c r="D90" s="335">
        <v>143818465177</v>
      </c>
      <c r="E90" s="335">
        <v>88799090663</v>
      </c>
      <c r="F90" s="335">
        <v>166039091744</v>
      </c>
      <c r="G90" s="333">
        <f>G89/F89-1</f>
        <v>0.33228252584175388</v>
      </c>
      <c r="H90" s="333">
        <f>H89/G89-1</f>
        <v>1.4944365175848517E-3</v>
      </c>
      <c r="I90" s="333">
        <f>I89/H89-1</f>
        <v>-1.2132071263618593E-2</v>
      </c>
      <c r="J90" s="333">
        <f>J89/I89-1</f>
        <v>2.1724730205542775E-2</v>
      </c>
      <c r="K90" s="333">
        <f>K89/J89-1</f>
        <v>2.5993360398382181E-2</v>
      </c>
      <c r="L90" s="574"/>
      <c r="M90" s="574"/>
      <c r="N90" s="574"/>
      <c r="O90" s="574"/>
      <c r="P90" s="574"/>
      <c r="Q90" s="574"/>
      <c r="R90" s="574"/>
      <c r="S90" s="574"/>
      <c r="U90" s="281"/>
      <c r="V90" s="281"/>
      <c r="W90" s="281"/>
      <c r="X90" s="281"/>
      <c r="Y90" s="281"/>
      <c r="Z90" s="281"/>
      <c r="AA90" s="281"/>
      <c r="AB90" s="281"/>
      <c r="AC90" s="281"/>
      <c r="AD90" s="281"/>
      <c r="AE90" s="281"/>
      <c r="AF90" s="281"/>
      <c r="AG90" s="281"/>
      <c r="AH90" s="281"/>
      <c r="AI90" s="281"/>
      <c r="AJ90" s="281"/>
      <c r="AK90" s="281"/>
      <c r="AL90" s="281"/>
      <c r="AM90" s="281"/>
      <c r="AN90" s="281"/>
      <c r="AO90" s="281"/>
      <c r="AP90" s="281"/>
      <c r="AQ90" s="281"/>
      <c r="AR90" s="281"/>
      <c r="AS90" s="281"/>
      <c r="AT90" s="281"/>
      <c r="AU90" s="281"/>
    </row>
    <row r="91" spans="1:47" ht="25" customHeight="1" x14ac:dyDescent="0.35">
      <c r="A91" s="330" t="s">
        <v>62</v>
      </c>
      <c r="B91" s="335">
        <v>1309845580</v>
      </c>
      <c r="C91" s="335">
        <v>209154467</v>
      </c>
      <c r="D91" s="335">
        <v>211599639</v>
      </c>
      <c r="E91" s="335">
        <v>220680833</v>
      </c>
      <c r="F91" s="335">
        <v>841917041</v>
      </c>
      <c r="G91" s="330"/>
      <c r="H91" s="330"/>
      <c r="I91" s="330"/>
      <c r="J91" s="330"/>
      <c r="K91" s="330"/>
      <c r="L91" s="572"/>
      <c r="M91" s="572"/>
      <c r="N91" s="572"/>
      <c r="O91" s="572"/>
      <c r="P91" s="572"/>
      <c r="Q91" s="572"/>
      <c r="R91" s="572"/>
      <c r="S91" s="572"/>
      <c r="U91" s="281"/>
      <c r="V91" s="281"/>
      <c r="W91" s="281"/>
      <c r="X91" s="281"/>
      <c r="Y91" s="281"/>
      <c r="Z91" s="281"/>
      <c r="AA91" s="281"/>
      <c r="AB91" s="281"/>
      <c r="AC91" s="281"/>
      <c r="AD91" s="281"/>
      <c r="AE91" s="281"/>
      <c r="AF91" s="281"/>
      <c r="AG91" s="281"/>
      <c r="AH91" s="281"/>
      <c r="AI91" s="281"/>
      <c r="AJ91" s="281"/>
      <c r="AK91" s="281"/>
      <c r="AL91" s="281"/>
      <c r="AM91" s="281"/>
      <c r="AN91" s="281"/>
      <c r="AO91" s="281"/>
      <c r="AP91" s="281"/>
      <c r="AQ91" s="281"/>
      <c r="AR91" s="281"/>
      <c r="AS91" s="281"/>
      <c r="AT91" s="281"/>
      <c r="AU91" s="281"/>
    </row>
    <row r="92" spans="1:47" ht="25" customHeight="1" x14ac:dyDescent="0.35">
      <c r="A92" s="330" t="s">
        <v>38</v>
      </c>
      <c r="B92" s="330">
        <v>27950543501501</v>
      </c>
      <c r="C92" s="330">
        <v>29745906112117</v>
      </c>
      <c r="D92" s="330">
        <v>31967662837839</v>
      </c>
      <c r="E92" s="330">
        <v>34640863353839</v>
      </c>
      <c r="F92" s="330">
        <v>36059015690711</v>
      </c>
      <c r="G92" s="330"/>
      <c r="H92" s="330"/>
      <c r="I92" s="330"/>
      <c r="J92" s="330"/>
      <c r="K92" s="330"/>
      <c r="L92" s="572"/>
      <c r="M92" s="572"/>
      <c r="N92" s="572"/>
      <c r="O92" s="572"/>
      <c r="P92" s="572"/>
      <c r="Q92" s="572"/>
      <c r="R92" s="572"/>
      <c r="S92" s="572"/>
      <c r="U92" s="281"/>
      <c r="V92" s="281"/>
      <c r="W92" s="281"/>
      <c r="X92" s="281"/>
      <c r="Y92" s="281"/>
      <c r="Z92" s="281"/>
      <c r="AA92" s="281"/>
      <c r="AB92" s="281"/>
      <c r="AC92" s="281"/>
      <c r="AD92" s="281"/>
      <c r="AE92" s="281"/>
      <c r="AF92" s="281"/>
      <c r="AG92" s="281"/>
      <c r="AH92" s="281"/>
      <c r="AI92" s="281"/>
      <c r="AJ92" s="281"/>
      <c r="AK92" s="281"/>
      <c r="AL92" s="281"/>
      <c r="AM92" s="281"/>
      <c r="AN92" s="281"/>
      <c r="AO92" s="281"/>
      <c r="AP92" s="281"/>
      <c r="AQ92" s="281"/>
      <c r="AR92" s="281"/>
      <c r="AS92" s="281"/>
      <c r="AT92" s="281"/>
      <c r="AU92" s="281"/>
    </row>
    <row r="93" spans="1:47" ht="25" customHeight="1" x14ac:dyDescent="0.35">
      <c r="A93" s="330" t="s">
        <v>14</v>
      </c>
      <c r="B93" s="330"/>
      <c r="C93" s="330">
        <f>C92/B92-1</f>
        <v>6.4233549180164884E-2</v>
      </c>
      <c r="D93" s="330">
        <f>D92/C92-1</f>
        <v>7.4691176572259987E-2</v>
      </c>
      <c r="E93" s="330">
        <f>E92/D92-1</f>
        <v>8.3622019212359344E-2</v>
      </c>
      <c r="F93" s="330">
        <f>F92/E92-1</f>
        <v>4.0938712248199005E-2</v>
      </c>
      <c r="G93" s="330"/>
      <c r="H93" s="330"/>
      <c r="I93" s="330"/>
      <c r="J93" s="330"/>
      <c r="K93" s="330"/>
      <c r="L93" s="572"/>
      <c r="M93" s="572"/>
      <c r="N93" s="572"/>
      <c r="O93" s="572"/>
      <c r="P93" s="572"/>
      <c r="Q93" s="572"/>
      <c r="R93" s="572"/>
      <c r="S93" s="572"/>
      <c r="U93" s="281"/>
      <c r="V93" s="281"/>
      <c r="W93" s="281"/>
      <c r="X93" s="281"/>
      <c r="Y93" s="281"/>
      <c r="Z93" s="281"/>
      <c r="AA93" s="281"/>
      <c r="AB93" s="281"/>
      <c r="AC93" s="281"/>
      <c r="AD93" s="281"/>
      <c r="AE93" s="281"/>
      <c r="AF93" s="281"/>
      <c r="AG93" s="281"/>
      <c r="AH93" s="281"/>
      <c r="AI93" s="281"/>
      <c r="AJ93" s="281"/>
      <c r="AK93" s="281"/>
      <c r="AL93" s="281"/>
      <c r="AM93" s="281"/>
      <c r="AN93" s="281"/>
      <c r="AO93" s="281"/>
      <c r="AP93" s="281"/>
      <c r="AQ93" s="281"/>
      <c r="AR93" s="281"/>
      <c r="AS93" s="281"/>
      <c r="AT93" s="281"/>
      <c r="AU93" s="281"/>
    </row>
    <row r="94" spans="1:47" ht="25" customHeight="1" x14ac:dyDescent="0.35">
      <c r="A94" s="330" t="s">
        <v>77</v>
      </c>
      <c r="B94" s="330"/>
      <c r="C94" s="330"/>
      <c r="D94" s="330"/>
      <c r="E94" s="330"/>
      <c r="F94" s="330"/>
      <c r="G94" s="330"/>
      <c r="H94" s="330"/>
      <c r="I94" s="330"/>
      <c r="J94" s="330"/>
      <c r="K94" s="330"/>
      <c r="L94" s="572"/>
      <c r="M94" s="572"/>
      <c r="N94" s="572"/>
      <c r="O94" s="572"/>
      <c r="P94" s="572"/>
      <c r="Q94" s="572"/>
      <c r="R94" s="572"/>
      <c r="S94" s="572"/>
      <c r="T94" s="289">
        <f>G89/F89-1</f>
        <v>0.33228252584175388</v>
      </c>
      <c r="U94" s="289">
        <f>H89/G89-1</f>
        <v>1.4944365175848517E-3</v>
      </c>
      <c r="V94" s="289">
        <f>I89/H89-1</f>
        <v>-1.2132071263618593E-2</v>
      </c>
      <c r="W94" s="289">
        <f>J89/I89-1</f>
        <v>2.1724730205542775E-2</v>
      </c>
      <c r="X94" s="289">
        <f>K89/J89-1</f>
        <v>2.5993360398382181E-2</v>
      </c>
      <c r="Y94" s="281"/>
      <c r="Z94" s="281"/>
      <c r="AA94" s="281"/>
      <c r="AB94" s="281"/>
      <c r="AC94" s="281"/>
      <c r="AD94" s="281"/>
      <c r="AE94" s="281"/>
      <c r="AF94" s="281"/>
      <c r="AG94" s="281"/>
      <c r="AH94" s="281"/>
      <c r="AI94" s="281"/>
      <c r="AJ94" s="281"/>
      <c r="AK94" s="281"/>
      <c r="AL94" s="281"/>
      <c r="AM94" s="281"/>
      <c r="AN94" s="281"/>
      <c r="AO94" s="281"/>
      <c r="AP94" s="281"/>
      <c r="AQ94" s="281"/>
      <c r="AR94" s="281"/>
      <c r="AS94" s="281"/>
      <c r="AT94" s="281"/>
      <c r="AU94" s="281"/>
    </row>
    <row r="95" spans="1:47" ht="25" customHeight="1" x14ac:dyDescent="0.35">
      <c r="A95" s="330"/>
      <c r="B95" s="330"/>
      <c r="C95" s="330"/>
      <c r="D95" s="330"/>
      <c r="E95" s="330"/>
      <c r="F95" s="330"/>
      <c r="G95" s="330"/>
      <c r="H95" s="330"/>
      <c r="I95" s="330"/>
      <c r="J95" s="330"/>
      <c r="K95" s="330"/>
      <c r="L95" s="572"/>
      <c r="M95" s="572"/>
      <c r="N95" s="572"/>
      <c r="O95" s="572"/>
      <c r="P95" s="572"/>
      <c r="Q95" s="572"/>
      <c r="R95" s="572"/>
      <c r="S95" s="572"/>
      <c r="U95" s="281"/>
      <c r="V95" s="281">
        <f>SUM(T94:X94)/5</f>
        <v>7.3872596339929014E-2</v>
      </c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</row>
    <row r="96" spans="1:47" ht="25" customHeight="1" x14ac:dyDescent="0.35">
      <c r="A96" s="461" t="s">
        <v>78</v>
      </c>
      <c r="B96" s="461"/>
      <c r="C96" s="461"/>
      <c r="D96" s="461"/>
      <c r="E96" s="461"/>
      <c r="F96" s="461"/>
      <c r="G96" s="461"/>
      <c r="H96" s="461"/>
      <c r="I96" s="461"/>
      <c r="J96" s="461"/>
      <c r="K96" s="461"/>
      <c r="L96" s="567"/>
      <c r="M96" s="567"/>
      <c r="N96" s="567"/>
      <c r="O96" s="567"/>
      <c r="P96" s="567"/>
      <c r="Q96" s="567"/>
      <c r="R96" s="567"/>
      <c r="S96" s="567"/>
      <c r="U96" s="281"/>
      <c r="V96" s="281"/>
      <c r="W96" s="281"/>
      <c r="X96" s="281"/>
      <c r="Y96" s="281"/>
      <c r="Z96" s="281"/>
      <c r="AA96" s="281"/>
      <c r="AB96" s="281"/>
      <c r="AC96" s="281"/>
      <c r="AD96" s="281"/>
      <c r="AE96" s="281"/>
      <c r="AF96" s="281"/>
      <c r="AG96" s="281"/>
      <c r="AH96" s="281"/>
      <c r="AI96" s="281"/>
      <c r="AJ96" s="281"/>
      <c r="AK96" s="281"/>
      <c r="AL96" s="281"/>
      <c r="AM96" s="281"/>
      <c r="AN96" s="281"/>
      <c r="AO96" s="281"/>
      <c r="AP96" s="281"/>
      <c r="AQ96" s="281"/>
      <c r="AR96" s="281"/>
      <c r="AS96" s="281"/>
      <c r="AT96" s="281"/>
      <c r="AU96" s="281"/>
    </row>
    <row r="97" spans="1:47" ht="25" customHeight="1" x14ac:dyDescent="0.35">
      <c r="A97" s="330"/>
      <c r="B97" s="322">
        <v>1627</v>
      </c>
      <c r="C97" s="322">
        <v>1948</v>
      </c>
      <c r="D97" s="322">
        <v>2209</v>
      </c>
      <c r="E97" s="322">
        <v>2121</v>
      </c>
      <c r="F97" s="322">
        <v>2095</v>
      </c>
      <c r="G97" s="322">
        <f>F97*(1+AVERAGE($C$98:$F$98))</f>
        <v>2241.2225204932265</v>
      </c>
      <c r="H97" s="322">
        <f>G97*(1+AVERAGE($C$98:$F$98))</f>
        <v>2397.6507810816283</v>
      </c>
      <c r="I97" s="322">
        <f>H97*(1+AVERAGE($C$98:$F$98))</f>
        <v>2564.9971011161433</v>
      </c>
      <c r="J97" s="322">
        <f>I97*(1+AVERAGE($C$98:$F$98))</f>
        <v>2744.0235169552943</v>
      </c>
      <c r="K97" s="322">
        <f>J97*(1+AVERAGE($C$98:$F$98))</f>
        <v>2935.5452520110894</v>
      </c>
      <c r="L97" s="576"/>
      <c r="M97" s="576"/>
      <c r="N97" s="576"/>
      <c r="O97" s="576"/>
      <c r="P97" s="576"/>
      <c r="Q97" s="576"/>
      <c r="R97" s="576"/>
      <c r="S97" s="576"/>
      <c r="U97" s="289">
        <f>AVERAGE($C$98:$F$98)</f>
        <v>6.979595250273346E-2</v>
      </c>
      <c r="V97" s="281"/>
      <c r="W97" s="281"/>
      <c r="X97" s="281"/>
      <c r="Y97" s="281"/>
      <c r="Z97" s="281"/>
      <c r="AA97" s="281"/>
      <c r="AB97" s="281"/>
      <c r="AC97" s="281"/>
      <c r="AD97" s="281"/>
      <c r="AE97" s="281"/>
      <c r="AF97" s="281"/>
      <c r="AG97" s="281"/>
      <c r="AH97" s="281"/>
      <c r="AI97" s="281"/>
      <c r="AJ97" s="281"/>
      <c r="AK97" s="281"/>
      <c r="AL97" s="281"/>
      <c r="AM97" s="281"/>
      <c r="AN97" s="281"/>
      <c r="AO97" s="281"/>
      <c r="AP97" s="281"/>
      <c r="AQ97" s="281"/>
      <c r="AR97" s="281"/>
      <c r="AS97" s="281"/>
      <c r="AT97" s="281"/>
      <c r="AU97" s="281"/>
    </row>
    <row r="98" spans="1:47" ht="25" customHeight="1" x14ac:dyDescent="0.35">
      <c r="A98" s="330" t="s">
        <v>14</v>
      </c>
      <c r="B98" s="330"/>
      <c r="C98" s="331">
        <f>C97/B97-1</f>
        <v>0.19729563614013523</v>
      </c>
      <c r="D98" s="331">
        <f t="shared" ref="D98:F98" si="54">D97/C97-1</f>
        <v>0.13398357289527718</v>
      </c>
      <c r="E98" s="331">
        <f t="shared" si="54"/>
        <v>-3.9837030330466261E-2</v>
      </c>
      <c r="F98" s="331">
        <f t="shared" si="54"/>
        <v>-1.2258368694012312E-2</v>
      </c>
      <c r="G98" s="330"/>
      <c r="H98" s="330"/>
      <c r="I98" s="330"/>
      <c r="J98" s="330"/>
      <c r="K98" s="330"/>
      <c r="L98" s="572"/>
      <c r="M98" s="572"/>
      <c r="N98" s="572"/>
      <c r="O98" s="572"/>
      <c r="P98" s="572"/>
      <c r="Q98" s="572"/>
      <c r="R98" s="572"/>
      <c r="S98" s="572"/>
      <c r="U98" s="281"/>
      <c r="V98" s="281"/>
      <c r="W98" s="281"/>
      <c r="X98" s="281"/>
      <c r="Y98" s="281"/>
      <c r="Z98" s="281"/>
      <c r="AA98" s="281"/>
      <c r="AB98" s="281"/>
      <c r="AC98" s="281"/>
      <c r="AD98" s="281"/>
      <c r="AE98" s="281"/>
      <c r="AF98" s="281"/>
      <c r="AG98" s="281"/>
      <c r="AH98" s="281"/>
      <c r="AI98" s="281"/>
      <c r="AJ98" s="281"/>
      <c r="AK98" s="281"/>
      <c r="AL98" s="281"/>
      <c r="AM98" s="281"/>
      <c r="AN98" s="281"/>
      <c r="AO98" s="281"/>
      <c r="AP98" s="281"/>
      <c r="AQ98" s="281"/>
      <c r="AR98" s="281"/>
      <c r="AS98" s="281"/>
      <c r="AT98" s="281"/>
      <c r="AU98" s="281"/>
    </row>
    <row r="99" spans="1:47" ht="25" customHeight="1" x14ac:dyDescent="0.35">
      <c r="A99" s="461" t="s">
        <v>79</v>
      </c>
      <c r="B99" s="461"/>
      <c r="C99" s="461"/>
      <c r="D99" s="461"/>
      <c r="E99" s="461"/>
      <c r="F99" s="461"/>
      <c r="G99" s="461"/>
      <c r="H99" s="461"/>
      <c r="I99" s="461"/>
      <c r="J99" s="461"/>
      <c r="K99" s="461"/>
      <c r="L99" s="567"/>
      <c r="M99" s="567"/>
      <c r="N99" s="567"/>
      <c r="O99" s="567"/>
      <c r="P99" s="567"/>
      <c r="Q99" s="567"/>
      <c r="R99" s="567"/>
      <c r="S99" s="567"/>
      <c r="U99" s="281"/>
      <c r="V99" s="281"/>
      <c r="W99" s="281"/>
      <c r="X99" s="281"/>
      <c r="Y99" s="281"/>
      <c r="Z99" s="281"/>
      <c r="AA99" s="281"/>
      <c r="AB99" s="281"/>
      <c r="AC99" s="281"/>
      <c r="AD99" s="281"/>
      <c r="AE99" s="281"/>
      <c r="AF99" s="281"/>
      <c r="AG99" s="281"/>
      <c r="AH99" s="281"/>
      <c r="AI99" s="281"/>
      <c r="AJ99" s="281"/>
      <c r="AK99" s="281"/>
      <c r="AL99" s="281"/>
      <c r="AM99" s="281"/>
      <c r="AN99" s="281"/>
      <c r="AO99" s="281"/>
      <c r="AP99" s="281"/>
      <c r="AQ99" s="281"/>
      <c r="AR99" s="281"/>
      <c r="AS99" s="281"/>
      <c r="AT99" s="281"/>
      <c r="AU99" s="281"/>
    </row>
    <row r="100" spans="1:47" ht="25" customHeight="1" x14ac:dyDescent="0.35">
      <c r="A100" s="330"/>
      <c r="B100" s="322">
        <v>57</v>
      </c>
      <c r="C100" s="322">
        <v>68</v>
      </c>
      <c r="D100" s="322">
        <v>608</v>
      </c>
      <c r="E100" s="322">
        <v>246</v>
      </c>
      <c r="F100" s="322">
        <v>246</v>
      </c>
      <c r="G100" s="322">
        <f>AVERAGE($B$100:$F$100)</f>
        <v>245</v>
      </c>
      <c r="H100" s="322">
        <f t="shared" ref="H100:K100" si="55">AVERAGE($B$100:$F$100)</f>
        <v>245</v>
      </c>
      <c r="I100" s="322">
        <f t="shared" si="55"/>
        <v>245</v>
      </c>
      <c r="J100" s="322">
        <f t="shared" si="55"/>
        <v>245</v>
      </c>
      <c r="K100" s="322">
        <f t="shared" si="55"/>
        <v>245</v>
      </c>
      <c r="L100" s="576"/>
      <c r="M100" s="576"/>
      <c r="N100" s="576"/>
      <c r="O100" s="576"/>
      <c r="P100" s="576"/>
      <c r="Q100" s="576"/>
      <c r="R100" s="576"/>
      <c r="S100" s="576"/>
      <c r="U100" s="281"/>
      <c r="V100" s="281"/>
      <c r="W100" s="281"/>
      <c r="X100" s="281"/>
      <c r="Y100" s="281"/>
      <c r="Z100" s="281"/>
      <c r="AA100" s="281"/>
      <c r="AB100" s="281"/>
      <c r="AC100" s="281"/>
      <c r="AD100" s="281"/>
      <c r="AE100" s="281"/>
      <c r="AF100" s="281"/>
      <c r="AG100" s="281"/>
      <c r="AH100" s="281"/>
      <c r="AI100" s="281"/>
      <c r="AJ100" s="281"/>
      <c r="AK100" s="281"/>
      <c r="AL100" s="281"/>
      <c r="AM100" s="281"/>
      <c r="AN100" s="281"/>
      <c r="AO100" s="281"/>
      <c r="AP100" s="281"/>
      <c r="AQ100" s="281"/>
      <c r="AR100" s="281"/>
      <c r="AS100" s="281"/>
      <c r="AT100" s="281"/>
      <c r="AU100" s="281"/>
    </row>
    <row r="101" spans="1:47" ht="25" customHeight="1" x14ac:dyDescent="0.35">
      <c r="A101" s="599"/>
      <c r="B101" s="423"/>
      <c r="C101" s="423"/>
      <c r="D101" s="423"/>
      <c r="E101" s="423"/>
      <c r="F101" s="423"/>
      <c r="G101" s="330"/>
      <c r="H101" s="330"/>
      <c r="I101" s="330"/>
      <c r="J101" s="330"/>
      <c r="K101" s="330"/>
      <c r="L101" s="572"/>
      <c r="M101" s="572"/>
      <c r="N101" s="572"/>
      <c r="O101" s="572"/>
      <c r="P101" s="572"/>
      <c r="Q101" s="572"/>
      <c r="R101" s="572"/>
      <c r="S101" s="572"/>
      <c r="U101" s="281"/>
      <c r="V101" s="281"/>
      <c r="W101" s="281"/>
      <c r="X101" s="281"/>
      <c r="Y101" s="281"/>
      <c r="Z101" s="281"/>
      <c r="AA101" s="281"/>
      <c r="AB101" s="281"/>
      <c r="AC101" s="281"/>
      <c r="AD101" s="281"/>
      <c r="AE101" s="281"/>
      <c r="AF101" s="281"/>
      <c r="AG101" s="281"/>
      <c r="AH101" s="281"/>
      <c r="AI101" s="281"/>
      <c r="AJ101" s="281"/>
      <c r="AK101" s="281"/>
      <c r="AL101" s="281"/>
      <c r="AM101" s="281"/>
      <c r="AN101" s="281"/>
      <c r="AO101" s="281"/>
      <c r="AP101" s="281"/>
      <c r="AQ101" s="281"/>
      <c r="AR101" s="281"/>
      <c r="AS101" s="281"/>
      <c r="AT101" s="281"/>
      <c r="AU101" s="281"/>
    </row>
    <row r="102" spans="1:47" ht="25" customHeight="1" x14ac:dyDescent="0.35">
      <c r="A102" s="457" t="s">
        <v>80</v>
      </c>
      <c r="B102" s="601">
        <f>B183/1000</f>
        <v>3368.7539999999999</v>
      </c>
      <c r="C102" s="601">
        <f>C183/1000</f>
        <v>3457.7040000000002</v>
      </c>
      <c r="D102" s="601">
        <f>D183/1000</f>
        <v>4157.1289999999999</v>
      </c>
      <c r="E102" s="601">
        <f>E183/1000</f>
        <v>4355.509</v>
      </c>
      <c r="F102" s="601">
        <f>F192/1000</f>
        <v>4620.4970000000003</v>
      </c>
      <c r="G102" s="355">
        <f>F102*(1+AVERAGE($C$104:$F$104))</f>
        <v>4847.9028653726255</v>
      </c>
      <c r="H102" s="355">
        <f>G102*(1+AVERAGE($C$104:$F$104))</f>
        <v>5086.5009093368335</v>
      </c>
      <c r="I102" s="355">
        <f>H102*(1-AVERAGE($C$104:$F$104))</f>
        <v>4836.1598440777525</v>
      </c>
      <c r="J102" s="355">
        <f>I102*(1-AVERAGE($C$104:$F$104))</f>
        <v>4598.1397535067945</v>
      </c>
      <c r="K102" s="355">
        <f>J102*(1-AVERAGE($C$104:$F$104))</f>
        <v>4371.8342392405839</v>
      </c>
      <c r="L102" s="577"/>
      <c r="M102" s="577"/>
      <c r="N102" s="577"/>
      <c r="O102" s="577"/>
      <c r="P102" s="577"/>
      <c r="Q102" s="577"/>
      <c r="R102" s="577"/>
      <c r="S102" s="577"/>
      <c r="U102" s="289">
        <f>AVERAGE($C$104:$F$104)</f>
        <v>4.9216754252329353E-2</v>
      </c>
      <c r="V102" s="281"/>
      <c r="W102" s="281"/>
      <c r="X102" s="281"/>
      <c r="Y102" s="281"/>
      <c r="Z102" s="281"/>
      <c r="AA102" s="281"/>
      <c r="AB102" s="281"/>
      <c r="AC102" s="281"/>
      <c r="AD102" s="281"/>
      <c r="AE102" s="281"/>
      <c r="AF102" s="281"/>
      <c r="AG102" s="281"/>
      <c r="AH102" s="281"/>
      <c r="AI102" s="281"/>
      <c r="AJ102" s="281"/>
      <c r="AK102" s="281"/>
      <c r="AL102" s="281"/>
      <c r="AM102" s="281"/>
      <c r="AN102" s="281"/>
      <c r="AO102" s="281"/>
      <c r="AP102" s="281"/>
      <c r="AQ102" s="281"/>
      <c r="AR102" s="281"/>
      <c r="AS102" s="281"/>
      <c r="AT102" s="281"/>
      <c r="AU102" s="281"/>
    </row>
    <row r="103" spans="1:47" ht="25" customHeight="1" x14ac:dyDescent="0.35">
      <c r="A103" s="330"/>
      <c r="B103" s="331">
        <f>B102/B3</f>
        <v>6.4091115341040436E-2</v>
      </c>
      <c r="C103" s="331">
        <f>C102/C3</f>
        <v>6.1395938213352749E-2</v>
      </c>
      <c r="D103" s="331">
        <f>D102/D3</f>
        <v>6.9708046540658153E-2</v>
      </c>
      <c r="E103" s="331">
        <f>E102/E3</f>
        <v>7.1496531510239839E-2</v>
      </c>
      <c r="F103" s="331">
        <f>F102/F3</f>
        <v>7.7064480036584018E-2</v>
      </c>
      <c r="G103" s="332">
        <f>F102*(1+AVERAGE(C104:F104))</f>
        <v>4847.9028653726255</v>
      </c>
      <c r="H103" s="332">
        <f>AVERAGE($B$103:$F$103)</f>
        <v>6.8751222328375036E-2</v>
      </c>
      <c r="I103" s="332">
        <f>AVERAGE($B$103:$F$103)</f>
        <v>6.8751222328375036E-2</v>
      </c>
      <c r="J103" s="332">
        <f>AVERAGE($B$103:$F$103)</f>
        <v>6.8751222328375036E-2</v>
      </c>
      <c r="K103" s="332">
        <f>AVERAGE($B$103:$F$103)</f>
        <v>6.8751222328375036E-2</v>
      </c>
      <c r="L103" s="569"/>
      <c r="M103" s="569"/>
      <c r="N103" s="569"/>
      <c r="O103" s="569"/>
      <c r="P103" s="569"/>
      <c r="Q103" s="569"/>
      <c r="R103" s="569"/>
      <c r="S103" s="569"/>
      <c r="U103" s="281"/>
      <c r="V103" s="281"/>
      <c r="W103" s="281"/>
      <c r="X103" s="281"/>
      <c r="Y103" s="281"/>
      <c r="Z103" s="281"/>
      <c r="AA103" s="281"/>
      <c r="AB103" s="281"/>
      <c r="AC103" s="281"/>
      <c r="AD103" s="281"/>
      <c r="AE103" s="281"/>
      <c r="AF103" s="281"/>
      <c r="AG103" s="281"/>
      <c r="AH103" s="281"/>
      <c r="AI103" s="281"/>
      <c r="AJ103" s="281"/>
      <c r="AK103" s="281"/>
      <c r="AL103" s="281"/>
      <c r="AM103" s="281"/>
      <c r="AN103" s="281"/>
      <c r="AO103" s="281"/>
      <c r="AP103" s="281"/>
      <c r="AQ103" s="281"/>
      <c r="AR103" s="281"/>
      <c r="AS103" s="281"/>
      <c r="AT103" s="281"/>
      <c r="AU103" s="281"/>
    </row>
    <row r="104" spans="1:47" ht="25" customHeight="1" x14ac:dyDescent="0.35">
      <c r="A104" s="330"/>
      <c r="B104" s="322"/>
      <c r="C104" s="331">
        <f>C103/B103-1</f>
        <v>-4.2052273756606695E-2</v>
      </c>
      <c r="D104" s="331">
        <f>D103/C103-1</f>
        <v>0.13538531325021164</v>
      </c>
      <c r="E104" s="331">
        <f>E103/D103-1</f>
        <v>2.5656793703701553E-2</v>
      </c>
      <c r="F104" s="331">
        <f>F103/E103-1</f>
        <v>7.7877183812010919E-2</v>
      </c>
      <c r="G104" s="330"/>
      <c r="H104" s="330"/>
      <c r="I104" s="330"/>
      <c r="J104" s="330"/>
      <c r="K104" s="330"/>
      <c r="L104" s="572"/>
      <c r="M104" s="572"/>
      <c r="N104" s="572"/>
      <c r="O104" s="572"/>
      <c r="P104" s="572"/>
      <c r="Q104" s="572"/>
      <c r="R104" s="572"/>
      <c r="S104" s="572"/>
      <c r="U104" s="281"/>
      <c r="V104" s="281"/>
      <c r="W104" s="281"/>
      <c r="X104" s="281"/>
      <c r="Y104" s="281"/>
      <c r="Z104" s="281"/>
      <c r="AA104" s="281"/>
      <c r="AB104" s="281"/>
      <c r="AC104" s="281"/>
      <c r="AD104" s="281"/>
      <c r="AE104" s="281"/>
      <c r="AF104" s="281"/>
      <c r="AG104" s="281"/>
      <c r="AH104" s="281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281"/>
      <c r="AS104" s="281"/>
      <c r="AT104" s="281"/>
      <c r="AU104" s="281"/>
    </row>
    <row r="105" spans="1:47" ht="25" customHeight="1" x14ac:dyDescent="0.35">
      <c r="A105" s="457" t="s">
        <v>81</v>
      </c>
      <c r="B105" s="322">
        <f>B186/1000</f>
        <v>5525.8459999999995</v>
      </c>
      <c r="C105" s="322">
        <f>C186/1000</f>
        <v>4983.0439999999999</v>
      </c>
      <c r="D105" s="322">
        <f>D186/1000</f>
        <v>4905.0690000000004</v>
      </c>
      <c r="E105" s="322">
        <f>E186/1000</f>
        <v>6773.0720000000001</v>
      </c>
      <c r="F105" s="322">
        <f>F195/1000</f>
        <v>5537.5630000000001</v>
      </c>
      <c r="G105" s="355">
        <f>G106*G3</f>
        <v>5803.4768812694729</v>
      </c>
      <c r="H105" s="355">
        <f>H106*H3</f>
        <v>5870.1214282007368</v>
      </c>
      <c r="I105" s="355">
        <f>H105*(1-I106)</f>
        <v>5635.3165710727071</v>
      </c>
      <c r="J105" s="355">
        <f>I105*(1-J106)</f>
        <v>5409.9039082297986</v>
      </c>
      <c r="K105" s="355">
        <f>J105*(1-K106)</f>
        <v>5193.5077519006063</v>
      </c>
      <c r="L105" s="577"/>
      <c r="M105" s="577"/>
      <c r="N105" s="577"/>
      <c r="O105" s="577"/>
      <c r="P105" s="577"/>
      <c r="Q105" s="577"/>
      <c r="R105" s="577"/>
      <c r="S105" s="577"/>
      <c r="T105" s="289">
        <v>0.35</v>
      </c>
      <c r="U105" s="289">
        <v>0.38500000000000001</v>
      </c>
      <c r="V105" s="289">
        <v>0.40699999999999997</v>
      </c>
      <c r="W105" s="445">
        <v>0.41</v>
      </c>
      <c r="X105" s="289">
        <v>0.41599999999999998</v>
      </c>
      <c r="Y105" s="289">
        <v>0.42199999999999999</v>
      </c>
      <c r="Z105" s="281"/>
      <c r="AA105" s="281"/>
      <c r="AB105" s="281"/>
      <c r="AC105" s="281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81"/>
      <c r="AU105" s="281"/>
    </row>
    <row r="106" spans="1:47" ht="25" customHeight="1" x14ac:dyDescent="0.35">
      <c r="A106" s="330"/>
      <c r="B106" s="331">
        <f>B105/B3</f>
        <v>0.10513015593980056</v>
      </c>
      <c r="C106" s="331">
        <f>C105/C3</f>
        <v>8.8480292569409674E-2</v>
      </c>
      <c r="D106" s="331">
        <f>D105/D3</f>
        <v>8.2249739697069668E-2</v>
      </c>
      <c r="E106" s="331">
        <f>E105/E3</f>
        <v>0.11118130066293587</v>
      </c>
      <c r="F106" s="331">
        <f>F105/F3</f>
        <v>9.2360067166979282E-2</v>
      </c>
      <c r="G106" s="332">
        <f>AVERAGE($B$106:$F$106)</f>
        <v>9.5880311207239013E-2</v>
      </c>
      <c r="H106" s="332">
        <f>AVERAGE($B$106:$F$106)</f>
        <v>9.5880311207239013E-2</v>
      </c>
      <c r="I106" s="332">
        <v>0.04</v>
      </c>
      <c r="J106" s="332">
        <v>0.04</v>
      </c>
      <c r="K106" s="332">
        <v>0.04</v>
      </c>
      <c r="L106" s="569"/>
      <c r="M106" s="569"/>
      <c r="N106" s="569"/>
      <c r="O106" s="569"/>
      <c r="P106" s="569"/>
      <c r="Q106" s="569"/>
      <c r="R106" s="569"/>
      <c r="S106" s="569"/>
      <c r="U106" s="289">
        <f>U105/T105-1</f>
        <v>0.10000000000000009</v>
      </c>
      <c r="V106" s="446">
        <f>V105/U105-1</f>
        <v>5.714285714285694E-2</v>
      </c>
      <c r="W106" s="446">
        <f>W105/V105-1</f>
        <v>7.3710073710073765E-3</v>
      </c>
      <c r="X106" s="446">
        <f>X105/W105-1</f>
        <v>1.4634146341463428E-2</v>
      </c>
      <c r="Y106" s="446">
        <f>Y105/X105-1</f>
        <v>1.4423076923076872E-2</v>
      </c>
      <c r="Z106" s="281"/>
      <c r="AA106" s="281"/>
      <c r="AB106" s="281"/>
      <c r="AC106" s="281"/>
      <c r="AD106" s="281"/>
      <c r="AE106" s="281"/>
      <c r="AF106" s="281"/>
      <c r="AG106" s="281"/>
      <c r="AH106" s="281"/>
      <c r="AI106" s="281"/>
      <c r="AJ106" s="281"/>
      <c r="AK106" s="281"/>
      <c r="AL106" s="281"/>
      <c r="AM106" s="281"/>
      <c r="AN106" s="281"/>
      <c r="AO106" s="281"/>
      <c r="AP106" s="281"/>
      <c r="AQ106" s="281"/>
      <c r="AR106" s="281"/>
      <c r="AS106" s="281"/>
      <c r="AT106" s="281"/>
      <c r="AU106" s="281"/>
    </row>
    <row r="107" spans="1:47" ht="25" customHeight="1" x14ac:dyDescent="0.35">
      <c r="A107" s="330"/>
      <c r="B107" s="322"/>
      <c r="C107" s="322"/>
      <c r="D107" s="322"/>
      <c r="E107" s="322"/>
      <c r="F107" s="322"/>
      <c r="G107" s="330"/>
      <c r="H107" s="330"/>
      <c r="I107" s="330"/>
      <c r="J107" s="330"/>
      <c r="K107" s="330"/>
      <c r="L107" s="572"/>
      <c r="M107" s="572"/>
      <c r="N107" s="572"/>
      <c r="O107" s="572"/>
      <c r="P107" s="572"/>
      <c r="Q107" s="572"/>
      <c r="R107" s="572"/>
      <c r="S107" s="572"/>
      <c r="U107" s="281"/>
      <c r="V107" s="281">
        <f>SUM(U106:Y106)/5</f>
        <v>3.8714217555680941E-2</v>
      </c>
      <c r="W107" s="281"/>
      <c r="X107" s="281"/>
      <c r="Y107" s="281"/>
      <c r="Z107" s="281"/>
      <c r="AA107" s="281"/>
      <c r="AB107" s="281"/>
      <c r="AC107" s="281"/>
      <c r="AD107" s="281"/>
      <c r="AE107" s="281"/>
      <c r="AF107" s="281"/>
      <c r="AG107" s="281"/>
      <c r="AH107" s="281"/>
      <c r="AI107" s="281"/>
      <c r="AJ107" s="281"/>
      <c r="AK107" s="281"/>
      <c r="AL107" s="281"/>
      <c r="AM107" s="281"/>
      <c r="AN107" s="281"/>
      <c r="AO107" s="281"/>
      <c r="AP107" s="281"/>
      <c r="AQ107" s="281"/>
      <c r="AR107" s="281"/>
      <c r="AS107" s="281"/>
      <c r="AT107" s="281"/>
      <c r="AU107" s="281"/>
    </row>
    <row r="108" spans="1:47" ht="25" customHeight="1" x14ac:dyDescent="0.35">
      <c r="A108" s="457" t="s">
        <v>82</v>
      </c>
      <c r="B108" s="322">
        <f>B189/1000</f>
        <v>3991.0650000000001</v>
      </c>
      <c r="C108" s="322">
        <f>C189/1000</f>
        <v>3648.4459999999999</v>
      </c>
      <c r="D108" s="322">
        <f>D189/1000</f>
        <v>3199.1860000000001</v>
      </c>
      <c r="E108" s="322">
        <f>E189/1000</f>
        <v>4213.8879999999999</v>
      </c>
      <c r="F108" s="322">
        <f>F198/1000</f>
        <v>4284.1580000000004</v>
      </c>
      <c r="G108" s="355">
        <f>F108*(1-$G$109)</f>
        <v>3997.1322799084023</v>
      </c>
      <c r="H108" s="355">
        <f>G108*(1-$G$109)</f>
        <v>3729.3364210857167</v>
      </c>
      <c r="I108" s="355">
        <f>H108*(1-$G$109)</f>
        <v>3479.4820805768113</v>
      </c>
      <c r="J108" s="355">
        <f>I108*(1-$G$109)</f>
        <v>3246.3672305354798</v>
      </c>
      <c r="K108" s="355">
        <f>J108*(1-$G$109)</f>
        <v>3028.870375371358</v>
      </c>
      <c r="L108" s="577"/>
      <c r="M108" s="577"/>
      <c r="N108" s="577"/>
      <c r="O108" s="577"/>
      <c r="P108" s="577"/>
      <c r="Q108" s="577"/>
      <c r="R108" s="577"/>
      <c r="S108" s="577"/>
      <c r="U108" s="281"/>
      <c r="V108" s="281"/>
      <c r="W108" s="281"/>
      <c r="X108" s="281"/>
      <c r="Y108" s="281"/>
      <c r="Z108" s="281"/>
      <c r="AA108" s="281"/>
      <c r="AB108" s="281"/>
      <c r="AC108" s="281"/>
      <c r="AD108" s="281"/>
      <c r="AE108" s="281"/>
      <c r="AF108" s="281"/>
      <c r="AG108" s="281"/>
      <c r="AH108" s="281"/>
      <c r="AI108" s="281"/>
      <c r="AJ108" s="281"/>
      <c r="AK108" s="281"/>
      <c r="AL108" s="281"/>
      <c r="AM108" s="281"/>
      <c r="AN108" s="281"/>
      <c r="AO108" s="281"/>
      <c r="AP108" s="281"/>
      <c r="AQ108" s="281"/>
      <c r="AR108" s="281"/>
      <c r="AS108" s="281"/>
      <c r="AT108" s="281"/>
      <c r="AU108" s="281"/>
    </row>
    <row r="109" spans="1:47" ht="25" customHeight="1" x14ac:dyDescent="0.35">
      <c r="A109" s="330"/>
      <c r="B109" s="331">
        <f>B108/B3</f>
        <v>7.593068750303214E-2</v>
      </c>
      <c r="C109" s="331">
        <f>C108/C3</f>
        <v>6.4782805350242223E-2</v>
      </c>
      <c r="D109" s="331">
        <f>D108/D3</f>
        <v>5.3644957031697117E-2</v>
      </c>
      <c r="E109" s="331">
        <f>E108/E3</f>
        <v>6.917179511570784E-2</v>
      </c>
      <c r="F109" s="331">
        <f>F108/F3</f>
        <v>7.1454739320157917E-2</v>
      </c>
      <c r="G109" s="332">
        <f>AVERAGE(B109:F109)</f>
        <v>6.6996996864167449E-2</v>
      </c>
      <c r="H109" s="332">
        <f>AVERAGE($B$109:$F$109)</f>
        <v>6.6996996864167449E-2</v>
      </c>
      <c r="I109" s="332">
        <f>AVERAGE($B$109:$F$109)</f>
        <v>6.6996996864167449E-2</v>
      </c>
      <c r="J109" s="332">
        <f>AVERAGE($B$109:$F$109)</f>
        <v>6.6996996864167449E-2</v>
      </c>
      <c r="K109" s="332">
        <f>AVERAGE($B$109:$F$109)</f>
        <v>6.6996996864167449E-2</v>
      </c>
      <c r="L109" s="569"/>
      <c r="M109" s="569"/>
      <c r="N109" s="569"/>
      <c r="O109" s="569"/>
      <c r="P109" s="569"/>
      <c r="Q109" s="569"/>
      <c r="R109" s="569"/>
      <c r="S109" s="569"/>
      <c r="U109" s="281"/>
      <c r="V109" s="281"/>
      <c r="W109" s="281"/>
      <c r="X109" s="281"/>
      <c r="Y109" s="281"/>
      <c r="Z109" s="281"/>
      <c r="AA109" s="281"/>
      <c r="AB109" s="281"/>
      <c r="AC109" s="281"/>
      <c r="AD109" s="281"/>
      <c r="AE109" s="281"/>
      <c r="AF109" s="281"/>
      <c r="AG109" s="281"/>
      <c r="AH109" s="281"/>
      <c r="AI109" s="281"/>
      <c r="AJ109" s="281"/>
      <c r="AK109" s="281"/>
      <c r="AL109" s="281"/>
      <c r="AM109" s="281"/>
      <c r="AN109" s="281"/>
      <c r="AO109" s="281"/>
      <c r="AP109" s="281"/>
      <c r="AQ109" s="281"/>
      <c r="AR109" s="281"/>
      <c r="AS109" s="281"/>
      <c r="AT109" s="281"/>
      <c r="AU109" s="281"/>
    </row>
    <row r="110" spans="1:47" ht="25" customHeight="1" x14ac:dyDescent="0.35">
      <c r="A110" s="599"/>
      <c r="B110" s="423"/>
      <c r="C110" s="600">
        <f>C109/B109-1</f>
        <v>-0.14681655756567136</v>
      </c>
      <c r="D110" s="600">
        <f>D109/C109-1</f>
        <v>-0.1719259957689292</v>
      </c>
      <c r="E110" s="600">
        <f>E109/D109-1</f>
        <v>0.28943704950376614</v>
      </c>
      <c r="F110" s="600">
        <f>F109/E109-1</f>
        <v>3.3003975111983941E-2</v>
      </c>
      <c r="G110" s="599"/>
      <c r="H110" s="599"/>
      <c r="I110" s="599"/>
      <c r="J110" s="599"/>
      <c r="K110" s="599"/>
      <c r="L110" s="572"/>
      <c r="M110" s="572"/>
      <c r="N110" s="572"/>
      <c r="O110" s="572"/>
      <c r="P110" s="572"/>
      <c r="Q110" s="572"/>
      <c r="R110" s="572"/>
      <c r="S110" s="572"/>
      <c r="U110" s="281"/>
      <c r="V110" s="281"/>
      <c r="W110" s="281"/>
      <c r="X110" s="281"/>
      <c r="Y110" s="281"/>
      <c r="Z110" s="281"/>
      <c r="AA110" s="281"/>
      <c r="AB110" s="281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</row>
    <row r="111" spans="1:47" ht="25" customHeight="1" x14ac:dyDescent="0.35">
      <c r="A111" s="330"/>
      <c r="B111" s="322"/>
      <c r="C111" s="322"/>
      <c r="D111" s="322"/>
      <c r="E111" s="322"/>
      <c r="F111" s="322"/>
      <c r="G111" s="330"/>
      <c r="H111" s="330"/>
      <c r="I111" s="330"/>
      <c r="J111" s="330"/>
      <c r="K111" s="330"/>
      <c r="U111" s="281"/>
      <c r="V111" s="281"/>
      <c r="W111" s="281"/>
      <c r="X111" s="281"/>
      <c r="Y111" s="281"/>
      <c r="Z111" s="281"/>
      <c r="AA111" s="281"/>
      <c r="AB111" s="281"/>
      <c r="AC111" s="281"/>
      <c r="AD111" s="281"/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281"/>
    </row>
    <row r="112" spans="1:47" ht="25" customHeight="1" x14ac:dyDescent="0.35">
      <c r="A112" s="457" t="s">
        <v>83</v>
      </c>
      <c r="B112" s="322"/>
      <c r="C112" s="322"/>
      <c r="D112" s="322"/>
      <c r="E112" s="322"/>
      <c r="F112" s="355">
        <f t="shared" ref="F112:K112" si="56">E102-F102</f>
        <v>-264.98800000000028</v>
      </c>
      <c r="G112" s="355">
        <f>F102-G102</f>
        <v>-227.40586537262516</v>
      </c>
      <c r="H112" s="355">
        <f t="shared" si="56"/>
        <v>-238.59804396420805</v>
      </c>
      <c r="I112" s="355">
        <f t="shared" si="56"/>
        <v>250.34106525908101</v>
      </c>
      <c r="J112" s="355">
        <f t="shared" si="56"/>
        <v>238.02009057095802</v>
      </c>
      <c r="K112" s="355">
        <f t="shared" si="56"/>
        <v>226.30551426621059</v>
      </c>
      <c r="L112" s="579"/>
      <c r="M112" s="579"/>
      <c r="N112" s="579"/>
      <c r="O112" s="579"/>
      <c r="P112" s="579"/>
      <c r="Q112" s="579"/>
      <c r="R112" s="579"/>
      <c r="S112" s="579"/>
      <c r="U112" s="281"/>
      <c r="V112" s="281"/>
      <c r="W112" s="281"/>
      <c r="X112" s="281"/>
      <c r="Y112" s="281"/>
      <c r="Z112" s="281"/>
      <c r="AA112" s="281"/>
      <c r="AB112" s="281"/>
      <c r="AC112" s="281"/>
      <c r="AD112" s="281"/>
      <c r="AE112" s="281"/>
      <c r="AF112" s="281"/>
      <c r="AG112" s="281"/>
      <c r="AH112" s="281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281"/>
      <c r="AU112" s="281"/>
    </row>
    <row r="113" spans="1:47" ht="25" customHeight="1" x14ac:dyDescent="0.35">
      <c r="A113" s="330"/>
      <c r="B113" s="322"/>
      <c r="C113" s="322"/>
      <c r="D113" s="322"/>
      <c r="E113" s="322"/>
      <c r="F113" s="322"/>
      <c r="G113" s="330"/>
      <c r="H113" s="330"/>
      <c r="I113" s="330"/>
      <c r="J113" s="330"/>
      <c r="K113" s="330"/>
      <c r="U113" s="281"/>
      <c r="V113" s="281"/>
      <c r="W113" s="281"/>
      <c r="X113" s="281"/>
      <c r="Y113" s="281"/>
      <c r="Z113" s="281"/>
      <c r="AA113" s="281"/>
      <c r="AB113" s="281"/>
      <c r="AC113" s="281"/>
      <c r="AD113" s="281"/>
      <c r="AE113" s="281"/>
      <c r="AF113" s="281"/>
      <c r="AG113" s="281"/>
      <c r="AH113" s="281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281"/>
      <c r="AS113" s="281"/>
      <c r="AT113" s="281"/>
      <c r="AU113" s="281"/>
    </row>
    <row r="114" spans="1:47" ht="25" customHeight="1" x14ac:dyDescent="0.35">
      <c r="A114" s="457" t="s">
        <v>84</v>
      </c>
      <c r="B114" s="322"/>
      <c r="C114" s="322"/>
      <c r="D114" s="322"/>
      <c r="E114" s="322"/>
      <c r="F114" s="322"/>
      <c r="G114" s="355">
        <f>F105-G105</f>
        <v>-265.91388126947277</v>
      </c>
      <c r="H114" s="355">
        <f>G105-H105</f>
        <v>-66.644546931263903</v>
      </c>
      <c r="I114" s="355">
        <f>H105-I105</f>
        <v>234.80485712802965</v>
      </c>
      <c r="J114" s="355">
        <f>I105-J105</f>
        <v>225.4126628429085</v>
      </c>
      <c r="K114" s="355">
        <f>J105-K105</f>
        <v>216.39615632919231</v>
      </c>
      <c r="L114" s="579"/>
      <c r="M114" s="579"/>
      <c r="N114" s="579"/>
      <c r="O114" s="579"/>
      <c r="P114" s="579"/>
      <c r="Q114" s="579"/>
      <c r="R114" s="579"/>
      <c r="S114" s="579"/>
      <c r="U114" s="281"/>
      <c r="V114" s="281"/>
      <c r="W114" s="281"/>
      <c r="X114" s="281"/>
      <c r="Y114" s="281"/>
      <c r="Z114" s="281"/>
      <c r="AA114" s="281"/>
      <c r="AB114" s="281"/>
      <c r="AC114" s="281"/>
      <c r="AD114" s="281"/>
      <c r="AE114" s="281"/>
      <c r="AF114" s="281"/>
      <c r="AG114" s="281"/>
      <c r="AH114" s="281"/>
      <c r="AI114" s="281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81"/>
      <c r="AU114" s="281"/>
    </row>
    <row r="115" spans="1:47" ht="25" customHeight="1" x14ac:dyDescent="0.35">
      <c r="A115" s="330"/>
      <c r="B115" s="322"/>
      <c r="C115" s="322"/>
      <c r="D115" s="322"/>
      <c r="E115" s="322"/>
      <c r="F115" s="322"/>
      <c r="G115" s="330"/>
      <c r="H115" s="330"/>
      <c r="I115" s="330"/>
      <c r="J115" s="330"/>
      <c r="K115" s="330"/>
      <c r="U115" s="281"/>
      <c r="V115" s="281"/>
      <c r="W115" s="281"/>
      <c r="X115" s="281"/>
      <c r="Y115" s="281"/>
      <c r="Z115" s="281"/>
      <c r="AA115" s="281"/>
      <c r="AB115" s="281"/>
      <c r="AC115" s="281"/>
      <c r="AD115" s="281"/>
      <c r="AE115" s="281"/>
      <c r="AF115" s="281"/>
      <c r="AG115" s="281"/>
      <c r="AH115" s="281"/>
      <c r="AI115" s="281"/>
      <c r="AJ115" s="281"/>
      <c r="AK115" s="281"/>
      <c r="AL115" s="281"/>
      <c r="AM115" s="281"/>
      <c r="AN115" s="281"/>
      <c r="AO115" s="281"/>
      <c r="AP115" s="281"/>
      <c r="AQ115" s="281"/>
      <c r="AR115" s="281"/>
      <c r="AS115" s="281"/>
      <c r="AT115" s="281"/>
      <c r="AU115" s="281"/>
    </row>
    <row r="116" spans="1:47" ht="25" customHeight="1" x14ac:dyDescent="0.35">
      <c r="A116" s="457" t="s">
        <v>85</v>
      </c>
      <c r="B116" s="322"/>
      <c r="C116" s="322"/>
      <c r="D116" s="322"/>
      <c r="E116" s="322"/>
      <c r="F116" s="355">
        <f t="shared" ref="F116:K116" si="57">F108-E108</f>
        <v>70.270000000000437</v>
      </c>
      <c r="G116" s="355">
        <f t="shared" si="57"/>
        <v>-287.02572009159803</v>
      </c>
      <c r="H116" s="355">
        <f t="shared" si="57"/>
        <v>-267.79585882268566</v>
      </c>
      <c r="I116" s="355">
        <f t="shared" si="57"/>
        <v>-249.85434050890535</v>
      </c>
      <c r="J116" s="355">
        <f t="shared" si="57"/>
        <v>-233.11485004133147</v>
      </c>
      <c r="K116" s="355">
        <f t="shared" si="57"/>
        <v>-217.49685516412183</v>
      </c>
      <c r="L116" s="579"/>
      <c r="M116" s="579"/>
      <c r="N116" s="579"/>
      <c r="O116" s="579"/>
      <c r="P116" s="579"/>
      <c r="Q116" s="579"/>
      <c r="R116" s="579"/>
      <c r="S116" s="579"/>
      <c r="U116" s="281"/>
      <c r="V116" s="281"/>
      <c r="W116" s="281"/>
      <c r="X116" s="281"/>
      <c r="Y116" s="281"/>
      <c r="Z116" s="281"/>
      <c r="AA116" s="281"/>
      <c r="AB116" s="281"/>
      <c r="AC116" s="281"/>
      <c r="AD116" s="281"/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  <c r="AQ116" s="281"/>
      <c r="AR116" s="281"/>
      <c r="AS116" s="281"/>
      <c r="AT116" s="281"/>
      <c r="AU116" s="281"/>
    </row>
    <row r="117" spans="1:47" ht="25" customHeight="1" x14ac:dyDescent="0.35">
      <c r="A117" s="330"/>
      <c r="B117" s="322"/>
      <c r="C117" s="322"/>
      <c r="D117" s="322"/>
      <c r="E117" s="322"/>
      <c r="F117" s="322"/>
      <c r="G117" s="330"/>
      <c r="H117" s="330"/>
      <c r="I117" s="330"/>
      <c r="J117" s="330"/>
      <c r="K117" s="330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</row>
    <row r="118" spans="1:47" ht="25" customHeight="1" x14ac:dyDescent="0.35">
      <c r="A118" s="457" t="s">
        <v>86</v>
      </c>
      <c r="B118" s="322">
        <f>B123</f>
        <v>69</v>
      </c>
      <c r="C118" s="322">
        <f>C123</f>
        <v>16</v>
      </c>
      <c r="D118" s="322">
        <f>D123</f>
        <v>24</v>
      </c>
      <c r="E118" s="322">
        <f>E123</f>
        <v>0</v>
      </c>
      <c r="F118" s="322">
        <f>F123</f>
        <v>-73</v>
      </c>
      <c r="G118" s="406">
        <f>AVERAGE($B$118:$F$118)</f>
        <v>7.2</v>
      </c>
      <c r="H118" s="406">
        <f>AVERAGE($B$118:$F$118)</f>
        <v>7.2</v>
      </c>
      <c r="I118" s="406">
        <f>AVERAGE($B$118:$F$118)</f>
        <v>7.2</v>
      </c>
      <c r="J118" s="406">
        <f>AVERAGE($B$118:$F$118)</f>
        <v>7.2</v>
      </c>
      <c r="K118" s="406">
        <f>AVERAGE($B$118:$F$118)</f>
        <v>7.2</v>
      </c>
      <c r="L118" s="580"/>
      <c r="M118" s="580"/>
      <c r="N118" s="580"/>
      <c r="O118" s="580"/>
      <c r="P118" s="580"/>
      <c r="Q118" s="580"/>
      <c r="R118" s="580"/>
      <c r="S118" s="580"/>
      <c r="U118" s="281"/>
      <c r="V118" s="281"/>
      <c r="W118" s="281"/>
      <c r="X118" s="281"/>
      <c r="Y118" s="281"/>
      <c r="Z118" s="281"/>
      <c r="AA118" s="281"/>
      <c r="AB118" s="281"/>
      <c r="AC118" s="281"/>
      <c r="AD118" s="281"/>
      <c r="AE118" s="281"/>
      <c r="AF118" s="281"/>
      <c r="AG118" s="281"/>
      <c r="AH118" s="281"/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281"/>
      <c r="AT118" s="281"/>
      <c r="AU118" s="281"/>
    </row>
    <row r="119" spans="1:47" ht="25" customHeight="1" x14ac:dyDescent="0.35">
      <c r="A119" s="330"/>
      <c r="B119" s="322"/>
      <c r="C119" s="322"/>
      <c r="D119" s="322"/>
      <c r="E119" s="322"/>
      <c r="F119" s="322"/>
      <c r="G119" s="330"/>
      <c r="H119" s="330"/>
      <c r="I119" s="330"/>
      <c r="J119" s="330"/>
      <c r="K119" s="330"/>
      <c r="U119" s="281"/>
      <c r="V119" s="281"/>
      <c r="W119" s="281"/>
      <c r="X119" s="281"/>
      <c r="Y119" s="281"/>
      <c r="Z119" s="281"/>
      <c r="AA119" s="281"/>
      <c r="AB119" s="281"/>
      <c r="AC119" s="281"/>
      <c r="AD119" s="281"/>
      <c r="AE119" s="281"/>
      <c r="AF119" s="281"/>
      <c r="AG119" s="281"/>
      <c r="AH119" s="281"/>
      <c r="AI119" s="281"/>
      <c r="AJ119" s="281"/>
      <c r="AK119" s="281"/>
      <c r="AL119" s="281"/>
      <c r="AM119" s="281"/>
      <c r="AN119" s="281"/>
      <c r="AO119" s="281"/>
      <c r="AP119" s="281"/>
      <c r="AQ119" s="281"/>
      <c r="AR119" s="281"/>
      <c r="AS119" s="281"/>
      <c r="AT119" s="281"/>
      <c r="AU119" s="281"/>
    </row>
    <row r="120" spans="1:47" ht="25" customHeight="1" x14ac:dyDescent="0.35">
      <c r="A120" s="457" t="s">
        <v>87</v>
      </c>
      <c r="B120" s="322" t="str">
        <f>B124</f>
        <v>--</v>
      </c>
      <c r="C120" s="322">
        <f>C124</f>
        <v>-4</v>
      </c>
      <c r="D120" s="322">
        <f>D124</f>
        <v>0</v>
      </c>
      <c r="E120" s="322">
        <f>E124</f>
        <v>0</v>
      </c>
      <c r="F120" s="406"/>
      <c r="G120" s="406">
        <f>AVERAGE($B$120:$F$120)</f>
        <v>-1.3333333333333333</v>
      </c>
      <c r="H120" s="406">
        <f>AVERAGE($B$120:$F$120)</f>
        <v>-1.3333333333333333</v>
      </c>
      <c r="I120" s="406">
        <f>AVERAGE($B$120:$F$120)</f>
        <v>-1.3333333333333333</v>
      </c>
      <c r="J120" s="406">
        <f>AVERAGE($B$120:$F$120)</f>
        <v>-1.3333333333333333</v>
      </c>
      <c r="K120" s="406">
        <f>AVERAGE($B$120:$F$120)</f>
        <v>-1.3333333333333333</v>
      </c>
      <c r="L120" s="580"/>
      <c r="M120" s="580"/>
      <c r="N120" s="580"/>
      <c r="O120" s="580"/>
      <c r="P120" s="580"/>
      <c r="Q120" s="580"/>
      <c r="R120" s="580"/>
      <c r="S120" s="580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</row>
    <row r="121" spans="1:47" ht="25" customHeight="1" x14ac:dyDescent="0.35">
      <c r="A121" s="330"/>
      <c r="B121" s="322"/>
      <c r="C121" s="322"/>
      <c r="D121" s="322"/>
      <c r="E121" s="322"/>
      <c r="F121" s="322"/>
      <c r="G121" s="330"/>
      <c r="H121" s="330"/>
      <c r="I121" s="330"/>
      <c r="J121" s="330"/>
      <c r="K121" s="330"/>
      <c r="U121" s="281"/>
      <c r="V121" s="281"/>
      <c r="W121" s="281"/>
      <c r="X121" s="281"/>
      <c r="Y121" s="281"/>
      <c r="Z121" s="281"/>
      <c r="AA121" s="281"/>
      <c r="AB121" s="281"/>
      <c r="AC121" s="281"/>
      <c r="AD121" s="281"/>
      <c r="AE121" s="281"/>
      <c r="AF121" s="281"/>
      <c r="AG121" s="281"/>
      <c r="AH121" s="281"/>
      <c r="AI121" s="281"/>
      <c r="AJ121" s="281"/>
      <c r="AK121" s="281"/>
      <c r="AL121" s="281"/>
      <c r="AM121" s="281"/>
      <c r="AN121" s="281"/>
      <c r="AO121" s="281"/>
      <c r="AP121" s="281"/>
      <c r="AQ121" s="281"/>
      <c r="AR121" s="281"/>
      <c r="AS121" s="281"/>
      <c r="AT121" s="281"/>
      <c r="AU121" s="281"/>
    </row>
    <row r="122" spans="1:47" ht="25" customHeight="1" x14ac:dyDescent="0.35">
      <c r="A122" s="457" t="s">
        <v>88</v>
      </c>
      <c r="B122" s="322">
        <f>B134+B85</f>
        <v>-1333.933445116</v>
      </c>
      <c r="C122" s="322">
        <f>C134+C85</f>
        <v>-992.62224233400002</v>
      </c>
      <c r="D122" s="322">
        <f>D134+D85</f>
        <v>-1453.196147101</v>
      </c>
      <c r="E122" s="322">
        <f>E134+E85</f>
        <v>-1407.3004855590002</v>
      </c>
      <c r="F122" s="322">
        <f>F134+F85</f>
        <v>-1262.040642963</v>
      </c>
      <c r="G122" s="406">
        <f>AVERAGE($B$122:$F$122)</f>
        <v>-1289.8185926146002</v>
      </c>
      <c r="H122" s="406">
        <f>AVERAGE($B$122:$F$122)</f>
        <v>-1289.8185926146002</v>
      </c>
      <c r="I122" s="406">
        <f>AVERAGE($B$122:$F$122)</f>
        <v>-1289.8185926146002</v>
      </c>
      <c r="J122" s="406">
        <f>AVERAGE($B$122:$F$122)</f>
        <v>-1289.8185926146002</v>
      </c>
      <c r="K122" s="406">
        <f>AVERAGE($B$122:$F$122)</f>
        <v>-1289.8185926146002</v>
      </c>
      <c r="L122" s="580"/>
      <c r="M122" s="580"/>
      <c r="N122" s="580"/>
      <c r="O122" s="580"/>
      <c r="P122" s="580"/>
      <c r="Q122" s="580"/>
      <c r="R122" s="580"/>
      <c r="S122" s="580"/>
      <c r="T122" s="281"/>
      <c r="U122" s="281"/>
      <c r="V122" s="281"/>
      <c r="W122" s="281"/>
      <c r="X122" s="281"/>
      <c r="Y122" s="281"/>
      <c r="Z122" s="281"/>
      <c r="AA122" s="281"/>
      <c r="AB122" s="281"/>
      <c r="AC122" s="281"/>
      <c r="AD122" s="281"/>
      <c r="AE122" s="281"/>
      <c r="AF122" s="281"/>
      <c r="AG122" s="281"/>
      <c r="AH122" s="281"/>
      <c r="AI122" s="281"/>
      <c r="AJ122" s="281"/>
      <c r="AK122" s="281"/>
      <c r="AL122" s="281"/>
      <c r="AM122" s="281"/>
      <c r="AN122" s="281"/>
      <c r="AO122" s="281"/>
      <c r="AP122" s="281"/>
      <c r="AQ122" s="281"/>
      <c r="AR122" s="281"/>
      <c r="AS122" s="281"/>
      <c r="AT122" s="281"/>
    </row>
    <row r="123" spans="1:47" ht="25" customHeight="1" x14ac:dyDescent="0.35">
      <c r="A123" s="330"/>
      <c r="B123" s="602">
        <v>69</v>
      </c>
      <c r="C123" s="602">
        <v>16</v>
      </c>
      <c r="D123" s="602">
        <v>24</v>
      </c>
      <c r="E123" s="602">
        <v>0</v>
      </c>
      <c r="F123" s="602">
        <v>-73</v>
      </c>
      <c r="G123" s="330"/>
      <c r="H123" s="330"/>
      <c r="I123" s="330"/>
      <c r="J123" s="330"/>
      <c r="K123" s="330"/>
      <c r="T123" s="281"/>
      <c r="U123" s="281"/>
      <c r="V123" s="281"/>
      <c r="W123" s="281"/>
      <c r="X123" s="281"/>
      <c r="Y123" s="281"/>
      <c r="Z123" s="281"/>
      <c r="AA123" s="281"/>
      <c r="AB123" s="281"/>
      <c r="AC123" s="281"/>
      <c r="AD123" s="281"/>
      <c r="AE123" s="281"/>
      <c r="AF123" s="281"/>
      <c r="AG123" s="281"/>
      <c r="AH123" s="281"/>
      <c r="AI123" s="281"/>
      <c r="AJ123" s="281"/>
      <c r="AK123" s="281"/>
      <c r="AL123" s="281"/>
      <c r="AM123" s="281"/>
      <c r="AN123" s="281"/>
      <c r="AO123" s="281"/>
      <c r="AP123" s="281"/>
      <c r="AQ123" s="281"/>
      <c r="AR123" s="281"/>
      <c r="AS123" s="281"/>
      <c r="AT123" s="281"/>
    </row>
    <row r="124" spans="1:47" ht="25" customHeight="1" x14ac:dyDescent="0.35">
      <c r="A124" s="330"/>
      <c r="B124" s="602" t="s">
        <v>89</v>
      </c>
      <c r="C124" s="602">
        <v>-4</v>
      </c>
      <c r="D124" s="602">
        <v>0</v>
      </c>
      <c r="E124" s="602">
        <v>0</v>
      </c>
      <c r="F124" s="602" t="s">
        <v>89</v>
      </c>
      <c r="G124" s="330"/>
      <c r="H124" s="330"/>
      <c r="I124" s="330"/>
      <c r="J124" s="330"/>
      <c r="K124" s="330"/>
      <c r="T124" s="281"/>
      <c r="U124" s="281"/>
      <c r="V124" s="281"/>
      <c r="W124" s="281"/>
      <c r="X124" s="281"/>
      <c r="Y124" s="281"/>
      <c r="Z124" s="281"/>
      <c r="AA124" s="281"/>
      <c r="AB124" s="281"/>
      <c r="AC124" s="281"/>
      <c r="AD124" s="281"/>
      <c r="AE124" s="281"/>
      <c r="AF124" s="281"/>
      <c r="AG124" s="281"/>
      <c r="AH124" s="281"/>
      <c r="AI124" s="281"/>
      <c r="AJ124" s="281"/>
      <c r="AK124" s="281"/>
      <c r="AL124" s="281"/>
      <c r="AM124" s="281"/>
      <c r="AN124" s="281"/>
      <c r="AO124" s="281"/>
      <c r="AP124" s="281"/>
      <c r="AQ124" s="281"/>
      <c r="AR124" s="281"/>
      <c r="AS124" s="281"/>
      <c r="AT124" s="281"/>
    </row>
    <row r="125" spans="1:47" ht="25" customHeight="1" x14ac:dyDescent="0.35">
      <c r="A125" s="330"/>
      <c r="B125" s="322"/>
      <c r="C125" s="322"/>
      <c r="D125" s="322"/>
      <c r="E125" s="322"/>
      <c r="F125" s="322"/>
      <c r="G125" s="330"/>
      <c r="H125" s="330"/>
      <c r="I125" s="330"/>
      <c r="J125" s="330"/>
      <c r="K125" s="330"/>
      <c r="T125" s="281"/>
      <c r="U125" s="281"/>
      <c r="V125" s="281"/>
      <c r="W125" s="281"/>
      <c r="X125" s="281"/>
      <c r="Y125" s="281"/>
      <c r="Z125" s="281"/>
      <c r="AA125" s="281"/>
      <c r="AB125" s="281"/>
      <c r="AC125" s="281"/>
      <c r="AD125" s="281"/>
      <c r="AE125" s="281"/>
      <c r="AF125" s="281"/>
      <c r="AG125" s="281"/>
      <c r="AH125" s="281"/>
      <c r="AI125" s="281"/>
      <c r="AJ125" s="281"/>
      <c r="AK125" s="281"/>
      <c r="AL125" s="281"/>
      <c r="AM125" s="281"/>
      <c r="AN125" s="281"/>
      <c r="AO125" s="281"/>
      <c r="AP125" s="281"/>
      <c r="AQ125" s="281"/>
      <c r="AR125" s="281"/>
      <c r="AS125" s="281"/>
      <c r="AT125" s="281"/>
    </row>
    <row r="126" spans="1:47" ht="25" customHeight="1" x14ac:dyDescent="0.35">
      <c r="A126" s="457" t="s">
        <v>90</v>
      </c>
      <c r="B126" s="321"/>
      <c r="C126" s="321"/>
      <c r="D126" s="321"/>
      <c r="E126" s="321"/>
      <c r="F126" s="603">
        <f>SUM(F122,F120,F118,F116,F114,F112)</f>
        <v>-1529.7586429629998</v>
      </c>
      <c r="G126" s="603">
        <f>SUM(G122,G120,G118,G116,G114,G112)</f>
        <v>-2064.2973926816294</v>
      </c>
      <c r="H126" s="603">
        <f>SUM(H122,H120,H118,H116,H114,H112)</f>
        <v>-1856.990375666091</v>
      </c>
      <c r="I126" s="603">
        <f>SUM(I122,I120,I118,I116,I114,I112)</f>
        <v>-1048.6603440697281</v>
      </c>
      <c r="J126" s="603">
        <f>SUM(J122,J120,J118,J116,J114,J112)</f>
        <v>-1053.6340225753984</v>
      </c>
      <c r="K126" s="603">
        <f>SUM(K122,K120,K118,K116,K114,K112)</f>
        <v>-1058.7471105166524</v>
      </c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1"/>
      <c r="AD126" s="281"/>
      <c r="AE126" s="281"/>
      <c r="AF126" s="281"/>
      <c r="AG126" s="281"/>
      <c r="AH126" s="281"/>
      <c r="AI126" s="281"/>
      <c r="AJ126" s="281"/>
      <c r="AK126" s="281"/>
      <c r="AL126" s="281"/>
      <c r="AM126" s="281"/>
      <c r="AN126" s="281"/>
      <c r="AO126" s="281"/>
      <c r="AP126" s="281"/>
      <c r="AQ126" s="281"/>
      <c r="AR126" s="281"/>
      <c r="AS126" s="281"/>
      <c r="AT126" s="281"/>
    </row>
    <row r="127" spans="1:47" ht="25" customHeight="1" x14ac:dyDescent="0.35">
      <c r="A127" s="330"/>
      <c r="B127" s="322"/>
      <c r="C127" s="322"/>
      <c r="D127" s="322"/>
      <c r="E127" s="322"/>
      <c r="F127" s="322"/>
      <c r="G127" s="330"/>
      <c r="H127" s="604"/>
      <c r="I127" s="604"/>
      <c r="J127" s="604"/>
      <c r="K127" s="604"/>
      <c r="T127" s="281"/>
      <c r="U127" s="281"/>
      <c r="V127" s="281"/>
      <c r="W127" s="281"/>
      <c r="X127" s="281"/>
      <c r="Y127" s="281"/>
      <c r="Z127" s="281"/>
      <c r="AA127" s="281"/>
      <c r="AB127" s="281"/>
      <c r="AC127" s="281"/>
      <c r="AD127" s="281"/>
      <c r="AE127" s="281"/>
      <c r="AF127" s="281"/>
      <c r="AG127" s="281"/>
      <c r="AH127" s="281"/>
      <c r="AI127" s="281"/>
      <c r="AJ127" s="281"/>
      <c r="AK127" s="281"/>
      <c r="AL127" s="281"/>
      <c r="AM127" s="281"/>
      <c r="AN127" s="281"/>
      <c r="AO127" s="281"/>
      <c r="AP127" s="281"/>
      <c r="AQ127" s="281"/>
      <c r="AR127" s="281"/>
      <c r="AS127" s="281"/>
      <c r="AT127" s="281"/>
    </row>
    <row r="128" spans="1:47" ht="25" customHeight="1" x14ac:dyDescent="0.35">
      <c r="A128" s="330"/>
      <c r="B128" s="602">
        <v>-4920</v>
      </c>
      <c r="C128" s="602">
        <v>-2846</v>
      </c>
      <c r="D128" s="602">
        <v>-4910</v>
      </c>
      <c r="E128" s="602">
        <v>-4991</v>
      </c>
      <c r="F128" s="602">
        <v>-3076</v>
      </c>
      <c r="G128" s="331">
        <f>G126/F126-1</f>
        <v>0.34942685382269056</v>
      </c>
      <c r="H128" s="331">
        <f>H126/G126-1</f>
        <v>-0.10042497643531667</v>
      </c>
      <c r="I128" s="331">
        <f>I126/H126-1</f>
        <v>-0.43529037209275778</v>
      </c>
      <c r="J128" s="331">
        <f>J126/I126-1</f>
        <v>4.7428879463182749E-3</v>
      </c>
      <c r="K128" s="331">
        <f>K126/J126-1</f>
        <v>4.8528121071451658E-3</v>
      </c>
      <c r="L128" s="581"/>
      <c r="M128" s="581"/>
      <c r="N128" s="581"/>
      <c r="O128" s="581"/>
      <c r="P128" s="581"/>
      <c r="Q128" s="581"/>
      <c r="R128" s="581"/>
      <c r="S128" s="581"/>
      <c r="T128" s="281"/>
      <c r="U128" s="281"/>
      <c r="V128" s="281"/>
      <c r="W128" s="281"/>
      <c r="X128" s="281"/>
      <c r="Y128" s="281"/>
      <c r="Z128" s="281"/>
      <c r="AA128" s="281"/>
      <c r="AB128" s="281"/>
      <c r="AC128" s="281"/>
      <c r="AD128" s="281"/>
      <c r="AE128" s="281"/>
      <c r="AF128" s="281"/>
      <c r="AG128" s="281"/>
      <c r="AH128" s="281"/>
      <c r="AI128" s="281"/>
      <c r="AJ128" s="281"/>
      <c r="AK128" s="281"/>
      <c r="AL128" s="281"/>
      <c r="AM128" s="281"/>
      <c r="AN128" s="281"/>
      <c r="AO128" s="281"/>
      <c r="AP128" s="281"/>
      <c r="AQ128" s="281"/>
      <c r="AR128" s="281"/>
      <c r="AS128" s="281"/>
      <c r="AT128" s="281"/>
    </row>
    <row r="129" spans="1:47" ht="25" customHeight="1" x14ac:dyDescent="0.35">
      <c r="A129" s="330"/>
      <c r="B129" s="322">
        <f>B128+B85</f>
        <v>-3073.9334451160003</v>
      </c>
      <c r="C129" s="322">
        <f>C128+C85</f>
        <v>-604.62224233400002</v>
      </c>
      <c r="D129" s="322">
        <f>D128+D85</f>
        <v>-2627.196147101</v>
      </c>
      <c r="E129" s="322">
        <f>E128+E85</f>
        <v>-2701.3004855590002</v>
      </c>
      <c r="F129" s="322">
        <f>F128+F85</f>
        <v>-1158.040642963</v>
      </c>
      <c r="G129" s="330"/>
      <c r="H129" s="330"/>
      <c r="I129" s="330"/>
      <c r="J129" s="330"/>
      <c r="K129" s="330"/>
      <c r="L129" s="582"/>
      <c r="M129" s="582"/>
      <c r="N129" s="582"/>
      <c r="O129" s="582"/>
      <c r="P129" s="582"/>
      <c r="Q129" s="582"/>
      <c r="R129" s="582"/>
      <c r="S129" s="582"/>
      <c r="T129" s="281"/>
      <c r="U129" s="281"/>
      <c r="V129" s="281"/>
      <c r="W129" s="281"/>
      <c r="X129" s="281"/>
      <c r="Y129" s="281"/>
      <c r="Z129" s="281"/>
      <c r="AA129" s="281"/>
      <c r="AB129" s="281"/>
      <c r="AC129" s="281"/>
      <c r="AD129" s="281"/>
      <c r="AE129" s="281"/>
      <c r="AF129" s="281"/>
      <c r="AG129" s="281"/>
      <c r="AH129" s="281"/>
      <c r="AI129" s="281"/>
      <c r="AJ129" s="281"/>
      <c r="AK129" s="281"/>
      <c r="AL129" s="281"/>
      <c r="AM129" s="281"/>
      <c r="AN129" s="281"/>
      <c r="AO129" s="281"/>
      <c r="AP129" s="281"/>
      <c r="AQ129" s="281"/>
      <c r="AR129" s="281"/>
      <c r="AS129" s="281"/>
      <c r="AT129" s="281"/>
    </row>
    <row r="130" spans="1:47" ht="25" customHeight="1" x14ac:dyDescent="0.35">
      <c r="A130" s="561"/>
      <c r="B130" s="562"/>
      <c r="C130" s="562"/>
      <c r="D130" s="562"/>
      <c r="E130" s="562"/>
      <c r="F130" s="562"/>
      <c r="G130" s="561"/>
      <c r="H130" s="561"/>
      <c r="I130" s="561"/>
      <c r="J130" s="561"/>
      <c r="K130" s="561"/>
      <c r="L130" s="582"/>
      <c r="M130" s="582"/>
      <c r="N130" s="582"/>
      <c r="O130" s="582"/>
      <c r="P130" s="582"/>
      <c r="Q130" s="582"/>
      <c r="R130" s="582"/>
      <c r="S130" s="582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1"/>
      <c r="AD130" s="281"/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</row>
    <row r="131" spans="1:47" ht="25" customHeight="1" x14ac:dyDescent="0.35">
      <c r="A131" s="561"/>
      <c r="B131" s="562"/>
      <c r="C131" s="562"/>
      <c r="D131" s="562"/>
      <c r="E131" s="562"/>
      <c r="F131" s="562"/>
      <c r="G131" s="561"/>
      <c r="H131" s="561"/>
      <c r="I131" s="561"/>
      <c r="J131" s="561"/>
      <c r="K131" s="561"/>
      <c r="L131" s="582"/>
      <c r="M131" s="582"/>
      <c r="N131" s="582"/>
      <c r="O131" s="582"/>
      <c r="P131" s="582"/>
      <c r="Q131" s="582"/>
      <c r="R131" s="582"/>
      <c r="S131" s="582"/>
      <c r="T131" s="281"/>
      <c r="U131" s="281"/>
      <c r="V131" s="281"/>
      <c r="W131" s="281"/>
      <c r="X131" s="281"/>
      <c r="Y131" s="281"/>
      <c r="Z131" s="281"/>
      <c r="AA131" s="281"/>
      <c r="AB131" s="281"/>
      <c r="AC131" s="281"/>
      <c r="AD131" s="281"/>
      <c r="AE131" s="281"/>
      <c r="AF131" s="281"/>
      <c r="AG131" s="281"/>
      <c r="AH131" s="281"/>
      <c r="AI131" s="281"/>
      <c r="AJ131" s="281"/>
      <c r="AK131" s="281"/>
      <c r="AL131" s="281"/>
      <c r="AM131" s="281"/>
      <c r="AN131" s="281"/>
      <c r="AO131" s="281"/>
      <c r="AP131" s="281"/>
      <c r="AQ131" s="281"/>
      <c r="AR131" s="281"/>
      <c r="AS131" s="281"/>
      <c r="AT131" s="281"/>
    </row>
    <row r="132" spans="1:47" ht="25" customHeight="1" x14ac:dyDescent="0.35">
      <c r="B132" s="405"/>
      <c r="C132" s="405"/>
      <c r="D132" s="405"/>
      <c r="E132" s="576"/>
      <c r="F132" s="576"/>
      <c r="G132" s="572"/>
      <c r="H132" s="572"/>
      <c r="I132" s="572"/>
      <c r="J132" s="572"/>
      <c r="K132" s="572"/>
      <c r="L132" s="583"/>
      <c r="M132" s="583"/>
      <c r="N132" s="583"/>
      <c r="O132" s="583"/>
      <c r="P132" s="583"/>
      <c r="Q132" s="583"/>
      <c r="R132" s="583"/>
      <c r="S132" s="583"/>
      <c r="U132" s="281"/>
      <c r="V132" s="281"/>
      <c r="W132" s="281"/>
      <c r="X132" s="281"/>
      <c r="Y132" s="281"/>
      <c r="Z132" s="281"/>
      <c r="AA132" s="281"/>
      <c r="AB132" s="281"/>
      <c r="AC132" s="281"/>
      <c r="AD132" s="281"/>
      <c r="AE132" s="281"/>
      <c r="AF132" s="281"/>
      <c r="AG132" s="281"/>
      <c r="AH132" s="281"/>
      <c r="AI132" s="281"/>
      <c r="AJ132" s="281"/>
      <c r="AK132" s="281"/>
      <c r="AL132" s="281"/>
      <c r="AM132" s="281"/>
      <c r="AN132" s="281"/>
      <c r="AO132" s="281"/>
      <c r="AP132" s="281"/>
      <c r="AQ132" s="281"/>
      <c r="AR132" s="281"/>
      <c r="AS132" s="281"/>
      <c r="AT132" s="281"/>
      <c r="AU132" s="281"/>
    </row>
    <row r="133" spans="1:47" ht="25" customHeight="1" thickBot="1" x14ac:dyDescent="0.4">
      <c r="B133" s="405"/>
      <c r="C133" s="405"/>
      <c r="D133" s="405"/>
      <c r="E133" s="576"/>
      <c r="F133" s="576"/>
      <c r="G133" s="572"/>
      <c r="H133" s="572"/>
      <c r="I133" s="572"/>
      <c r="J133" s="572"/>
      <c r="K133" s="572"/>
      <c r="U133" s="281"/>
      <c r="V133" s="281"/>
      <c r="W133" s="281"/>
      <c r="X133" s="281"/>
      <c r="Y133" s="281"/>
      <c r="Z133" s="281"/>
      <c r="AA133" s="281"/>
      <c r="AB133" s="281"/>
      <c r="AC133" s="281"/>
      <c r="AD133" s="281"/>
      <c r="AE133" s="281"/>
      <c r="AF133" s="281"/>
      <c r="AG133" s="281"/>
      <c r="AH133" s="281"/>
      <c r="AI133" s="281"/>
      <c r="AJ133" s="281"/>
      <c r="AK133" s="281"/>
      <c r="AL133" s="281"/>
      <c r="AM133" s="281"/>
      <c r="AN133" s="281"/>
      <c r="AO133" s="281"/>
      <c r="AP133" s="281"/>
      <c r="AQ133" s="281"/>
      <c r="AR133" s="281"/>
      <c r="AS133" s="281"/>
      <c r="AT133" s="281"/>
      <c r="AU133" s="281"/>
    </row>
    <row r="134" spans="1:47" ht="25" customHeight="1" x14ac:dyDescent="0.35">
      <c r="B134" s="379">
        <v>-3180</v>
      </c>
      <c r="C134" s="379">
        <v>-3234</v>
      </c>
      <c r="D134" s="379">
        <v>-3736</v>
      </c>
      <c r="E134" s="563">
        <v>-3697</v>
      </c>
      <c r="F134" s="563">
        <v>-3180</v>
      </c>
      <c r="J134" s="436">
        <f>AVERAGE(G128:K128)</f>
        <v>-3.5338558930384088E-2</v>
      </c>
      <c r="U134" s="281"/>
      <c r="V134" s="281"/>
      <c r="W134" s="281"/>
      <c r="X134" s="281"/>
      <c r="Y134" s="281"/>
      <c r="Z134" s="281"/>
      <c r="AA134" s="281"/>
      <c r="AB134" s="281"/>
      <c r="AC134" s="281"/>
      <c r="AD134" s="281"/>
      <c r="AE134" s="281"/>
      <c r="AF134" s="281"/>
      <c r="AG134" s="281"/>
      <c r="AH134" s="281"/>
      <c r="AI134" s="281"/>
      <c r="AJ134" s="281"/>
      <c r="AK134" s="281"/>
      <c r="AL134" s="281"/>
      <c r="AM134" s="281"/>
      <c r="AN134" s="281"/>
      <c r="AO134" s="281"/>
      <c r="AP134" s="281"/>
      <c r="AQ134" s="281"/>
      <c r="AR134" s="281"/>
      <c r="AS134" s="281"/>
      <c r="AT134" s="281"/>
      <c r="AU134" s="281"/>
    </row>
    <row r="135" spans="1:47" ht="25" customHeight="1" x14ac:dyDescent="0.35">
      <c r="B135" s="405"/>
      <c r="C135" s="405"/>
      <c r="D135" s="405"/>
      <c r="E135" s="405"/>
      <c r="F135" s="322"/>
      <c r="U135" s="281"/>
      <c r="V135" s="281"/>
      <c r="W135" s="281"/>
      <c r="X135" s="281"/>
      <c r="Y135" s="281"/>
      <c r="Z135" s="281"/>
      <c r="AA135" s="281"/>
      <c r="AB135" s="281"/>
      <c r="AC135" s="281"/>
      <c r="AD135" s="281"/>
      <c r="AE135" s="281"/>
      <c r="AF135" s="281"/>
      <c r="AG135" s="281"/>
      <c r="AH135" s="281"/>
      <c r="AI135" s="281"/>
      <c r="AJ135" s="281"/>
      <c r="AK135" s="281"/>
      <c r="AL135" s="281"/>
      <c r="AM135" s="281"/>
      <c r="AN135" s="281"/>
      <c r="AO135" s="281"/>
      <c r="AP135" s="281"/>
      <c r="AQ135" s="281"/>
      <c r="AR135" s="281"/>
      <c r="AS135" s="281"/>
      <c r="AT135" s="281"/>
      <c r="AU135" s="281"/>
    </row>
    <row r="136" spans="1:47" ht="25" customHeight="1" thickBot="1" x14ac:dyDescent="0.4">
      <c r="B136" s="405"/>
      <c r="C136" s="405"/>
      <c r="D136" s="405"/>
      <c r="E136" s="405"/>
      <c r="F136" s="322"/>
      <c r="U136" s="281"/>
      <c r="V136" s="281"/>
      <c r="W136" s="281"/>
      <c r="X136" s="281"/>
      <c r="Y136" s="281"/>
      <c r="Z136" s="281"/>
      <c r="AA136" s="281"/>
      <c r="AB136" s="281"/>
      <c r="AC136" s="281"/>
      <c r="AD136" s="281"/>
      <c r="AE136" s="281"/>
      <c r="AF136" s="281"/>
      <c r="AG136" s="281"/>
      <c r="AH136" s="281"/>
      <c r="AI136" s="281"/>
      <c r="AJ136" s="281"/>
      <c r="AK136" s="281"/>
      <c r="AL136" s="281"/>
      <c r="AM136" s="281"/>
      <c r="AN136" s="281"/>
      <c r="AO136" s="281"/>
      <c r="AP136" s="281"/>
      <c r="AQ136" s="281"/>
      <c r="AR136" s="281"/>
      <c r="AS136" s="281"/>
      <c r="AT136" s="281"/>
      <c r="AU136" s="281"/>
    </row>
    <row r="137" spans="1:47" ht="25" customHeight="1" thickBot="1" x14ac:dyDescent="0.4">
      <c r="A137" s="379">
        <v>-3180</v>
      </c>
      <c r="B137" s="379">
        <v>-3234</v>
      </c>
      <c r="C137" s="379">
        <v>-3736</v>
      </c>
      <c r="D137" s="379">
        <v>-3697</v>
      </c>
      <c r="E137" s="379">
        <v>-3180</v>
      </c>
      <c r="F137" s="322"/>
      <c r="U137" s="281"/>
      <c r="V137" s="281"/>
      <c r="W137" s="281"/>
      <c r="X137" s="281"/>
      <c r="Y137" s="281"/>
      <c r="Z137" s="281"/>
      <c r="AA137" s="281"/>
      <c r="AB137" s="281"/>
      <c r="AC137" s="281"/>
      <c r="AD137" s="281"/>
      <c r="AE137" s="281"/>
      <c r="AF137" s="281"/>
      <c r="AG137" s="281"/>
      <c r="AH137" s="281"/>
      <c r="AI137" s="281"/>
      <c r="AJ137" s="281"/>
      <c r="AK137" s="281"/>
      <c r="AL137" s="281"/>
      <c r="AM137" s="281"/>
      <c r="AN137" s="281"/>
      <c r="AO137" s="281"/>
      <c r="AP137" s="281"/>
      <c r="AQ137" s="281"/>
      <c r="AR137" s="281"/>
      <c r="AS137" s="281"/>
      <c r="AT137" s="281"/>
      <c r="AU137" s="281"/>
    </row>
    <row r="138" spans="1:47" ht="25" customHeight="1" thickBot="1" x14ac:dyDescent="0.4">
      <c r="A138" s="330"/>
      <c r="B138" s="322"/>
      <c r="C138" s="322"/>
      <c r="D138" s="322"/>
      <c r="E138" s="322"/>
      <c r="F138" s="117">
        <v>33.200000000000003</v>
      </c>
      <c r="G138" s="404">
        <f>F138*(1+$H$63)</f>
        <v>33.200000000000003</v>
      </c>
      <c r="H138" s="404">
        <f>G138*(1+$H$63)</f>
        <v>33.200000000000003</v>
      </c>
      <c r="I138" s="404">
        <f>H138*(1-$H$63)</f>
        <v>33.200000000000003</v>
      </c>
      <c r="J138" s="404">
        <f>I138*(1-$H$63)</f>
        <v>33.200000000000003</v>
      </c>
      <c r="K138" s="404">
        <f>J138*(1-$H$63)</f>
        <v>33.200000000000003</v>
      </c>
      <c r="U138" s="281"/>
      <c r="V138" s="281"/>
      <c r="W138" s="281"/>
      <c r="X138" s="281"/>
      <c r="Y138" s="281"/>
      <c r="Z138" s="281"/>
      <c r="AA138" s="281"/>
      <c r="AB138" s="281"/>
      <c r="AC138" s="281"/>
      <c r="AD138" s="281"/>
      <c r="AE138" s="281"/>
      <c r="AF138" s="281"/>
      <c r="AG138" s="281"/>
      <c r="AH138" s="281"/>
      <c r="AI138" s="281"/>
      <c r="AJ138" s="281"/>
      <c r="AK138" s="281"/>
      <c r="AL138" s="281"/>
      <c r="AM138" s="281"/>
      <c r="AN138" s="281"/>
      <c r="AO138" s="281"/>
      <c r="AP138" s="281"/>
      <c r="AQ138" s="281"/>
      <c r="AR138" s="281"/>
      <c r="AS138" s="281"/>
      <c r="AT138" s="281"/>
      <c r="AU138" s="281"/>
    </row>
    <row r="139" spans="1:47" ht="25" customHeight="1" thickBot="1" x14ac:dyDescent="0.4">
      <c r="A139" s="110" t="s">
        <v>91</v>
      </c>
      <c r="B139" s="117">
        <v>27.8</v>
      </c>
      <c r="C139" s="117">
        <v>25.7</v>
      </c>
      <c r="D139" s="117">
        <v>26.8</v>
      </c>
      <c r="E139" s="117">
        <v>30</v>
      </c>
      <c r="F139" s="400">
        <v>0.107</v>
      </c>
      <c r="G139" s="401">
        <f>AVERAGE(B139:F139)</f>
        <v>22.081399999999999</v>
      </c>
      <c r="H139" s="231"/>
      <c r="I139" s="231"/>
      <c r="J139" s="231"/>
      <c r="K139"/>
      <c r="U139" s="281"/>
      <c r="V139" s="281"/>
      <c r="W139" s="281"/>
      <c r="X139" s="281"/>
      <c r="Y139" s="281"/>
      <c r="Z139" s="281"/>
      <c r="AA139" s="281"/>
      <c r="AB139" s="281"/>
      <c r="AC139" s="281"/>
      <c r="AD139" s="281"/>
      <c r="AE139" s="281"/>
      <c r="AF139" s="281"/>
      <c r="AG139" s="281"/>
      <c r="AH139" s="281"/>
      <c r="AI139" s="281"/>
      <c r="AJ139" s="281"/>
      <c r="AK139" s="281"/>
      <c r="AL139" s="281"/>
      <c r="AM139" s="281"/>
      <c r="AN139" s="281"/>
      <c r="AO139" s="281"/>
      <c r="AP139" s="281"/>
      <c r="AQ139" s="281"/>
      <c r="AR139" s="281"/>
      <c r="AS139" s="281"/>
      <c r="AT139" s="281"/>
      <c r="AU139" s="281"/>
    </row>
    <row r="140" spans="1:47" ht="25" customHeight="1" thickBot="1" x14ac:dyDescent="0.4">
      <c r="A140" s="113" t="s">
        <v>92</v>
      </c>
      <c r="B140" s="400">
        <v>0.14499999999999999</v>
      </c>
      <c r="C140" s="400">
        <v>-7.8E-2</v>
      </c>
      <c r="D140" s="400">
        <v>4.2999999999999997E-2</v>
      </c>
      <c r="E140" s="400">
        <v>0.12</v>
      </c>
      <c r="F140" s="117">
        <v>5.9</v>
      </c>
      <c r="G140" s="231"/>
      <c r="H140" s="231"/>
      <c r="I140" s="231"/>
      <c r="J140" s="231"/>
      <c r="K140"/>
      <c r="L140" s="584"/>
      <c r="M140" s="584"/>
      <c r="N140" s="584"/>
      <c r="O140" s="584"/>
      <c r="P140" s="584"/>
      <c r="Q140" s="584"/>
      <c r="R140" s="584"/>
      <c r="S140" s="584"/>
      <c r="U140" s="281"/>
      <c r="V140" s="281"/>
      <c r="W140" s="281"/>
      <c r="X140" s="281"/>
      <c r="Y140" s="281"/>
      <c r="Z140" s="281"/>
      <c r="AA140" s="281"/>
      <c r="AB140" s="281"/>
      <c r="AC140" s="281"/>
      <c r="AD140" s="281"/>
      <c r="AE140" s="281"/>
      <c r="AF140" s="281"/>
      <c r="AG140" s="281"/>
      <c r="AH140" s="281"/>
      <c r="AI140" s="281"/>
      <c r="AJ140" s="281"/>
      <c r="AK140" s="281"/>
      <c r="AL140" s="281"/>
      <c r="AM140" s="281"/>
      <c r="AN140" s="281"/>
      <c r="AO140" s="281"/>
      <c r="AP140" s="281"/>
      <c r="AQ140" s="281"/>
      <c r="AR140" s="281"/>
      <c r="AS140" s="281"/>
      <c r="AT140" s="281"/>
      <c r="AU140" s="281"/>
    </row>
    <row r="141" spans="1:47" ht="25" customHeight="1" thickBot="1" x14ac:dyDescent="0.4">
      <c r="A141" s="110" t="s">
        <v>93</v>
      </c>
      <c r="B141" s="117">
        <v>5.9</v>
      </c>
      <c r="C141" s="117">
        <v>5.7</v>
      </c>
      <c r="D141" s="117">
        <v>6.5</v>
      </c>
      <c r="E141" s="117">
        <v>5.9</v>
      </c>
      <c r="F141" s="115" t="s">
        <v>94</v>
      </c>
      <c r="G141" s="231"/>
      <c r="H141" s="231"/>
      <c r="I141" s="231"/>
      <c r="J141" s="231"/>
      <c r="K141"/>
      <c r="L141" s="585"/>
      <c r="M141" s="585"/>
      <c r="N141" s="585"/>
      <c r="O141" s="585"/>
      <c r="P141" s="585"/>
      <c r="Q141" s="585"/>
      <c r="R141" s="585"/>
      <c r="S141" s="585"/>
      <c r="U141" s="281"/>
      <c r="V141" s="281"/>
      <c r="W141" s="281"/>
      <c r="X141" s="281"/>
      <c r="Y141" s="281"/>
      <c r="Z141" s="281"/>
      <c r="AA141" s="281"/>
      <c r="AB141" s="281"/>
      <c r="AC141" s="281"/>
      <c r="AD141" s="281"/>
      <c r="AE141" s="281"/>
      <c r="AF141" s="281"/>
      <c r="AG141" s="281"/>
      <c r="AH141" s="281"/>
      <c r="AI141" s="281"/>
      <c r="AJ141" s="281"/>
      <c r="AK141" s="281"/>
      <c r="AL141" s="281"/>
      <c r="AM141" s="281"/>
      <c r="AN141" s="281"/>
      <c r="AO141" s="281"/>
      <c r="AP141" s="281"/>
      <c r="AQ141" s="281"/>
      <c r="AR141" s="281"/>
      <c r="AS141" s="281"/>
      <c r="AT141" s="281"/>
      <c r="AU141" s="281"/>
    </row>
    <row r="142" spans="1:47" ht="25" customHeight="1" thickBot="1" x14ac:dyDescent="0.4">
      <c r="A142" s="113" t="s">
        <v>92</v>
      </c>
      <c r="B142" s="115" t="s">
        <v>95</v>
      </c>
      <c r="C142" s="115" t="s">
        <v>96</v>
      </c>
      <c r="D142" s="115" t="s">
        <v>97</v>
      </c>
      <c r="E142" s="115" t="s">
        <v>98</v>
      </c>
      <c r="F142" s="117">
        <v>62.5</v>
      </c>
      <c r="G142" s="404">
        <f>AVERAGE(B142:F142)</f>
        <v>62.5</v>
      </c>
      <c r="H142" s="404">
        <f>G142</f>
        <v>62.5</v>
      </c>
      <c r="I142" s="404">
        <f>H142</f>
        <v>62.5</v>
      </c>
      <c r="J142" s="404">
        <f>I142</f>
        <v>62.5</v>
      </c>
      <c r="K142" s="404">
        <f>J142</f>
        <v>62.5</v>
      </c>
      <c r="L142" s="585"/>
      <c r="M142" s="585"/>
      <c r="N142" s="585"/>
      <c r="O142" s="585"/>
      <c r="P142" s="585"/>
      <c r="Q142" s="585"/>
      <c r="R142" s="585"/>
      <c r="S142" s="585"/>
      <c r="U142" s="281"/>
      <c r="V142" s="281"/>
      <c r="W142" s="281"/>
      <c r="X142" s="281"/>
      <c r="Y142" s="281"/>
      <c r="Z142" s="281"/>
      <c r="AA142" s="281"/>
      <c r="AB142" s="281"/>
      <c r="AC142" s="281"/>
      <c r="AD142" s="281"/>
      <c r="AE142" s="281"/>
      <c r="AF142" s="281"/>
      <c r="AG142" s="281"/>
      <c r="AH142" s="281"/>
      <c r="AI142" s="281"/>
      <c r="AJ142" s="281"/>
      <c r="AK142" s="281"/>
      <c r="AL142" s="281"/>
      <c r="AM142" s="281"/>
      <c r="AN142" s="281"/>
      <c r="AO142" s="281"/>
      <c r="AP142" s="281"/>
      <c r="AQ142" s="281"/>
      <c r="AR142" s="281"/>
      <c r="AS142" s="281"/>
      <c r="AT142" s="281"/>
      <c r="AU142" s="281"/>
    </row>
    <row r="143" spans="1:47" ht="25" customHeight="1" thickBot="1" x14ac:dyDescent="0.4">
      <c r="A143" s="110" t="s">
        <v>99</v>
      </c>
      <c r="B143" s="117">
        <v>62.5</v>
      </c>
      <c r="C143" s="117">
        <v>64.7</v>
      </c>
      <c r="D143" s="117">
        <v>56.6</v>
      </c>
      <c r="E143" s="117">
        <v>61.7</v>
      </c>
      <c r="F143" s="400">
        <v>1.2999999999999999E-2</v>
      </c>
      <c r="G143" s="403">
        <f>AVERAGE(B143:F143)</f>
        <v>49.102600000000002</v>
      </c>
      <c r="H143" s="231"/>
      <c r="I143" s="231"/>
      <c r="J143" s="231"/>
      <c r="K143"/>
      <c r="L143" s="585"/>
      <c r="M143" s="585"/>
      <c r="N143" s="585"/>
      <c r="O143" s="585"/>
      <c r="P143" s="585"/>
      <c r="Q143" s="585"/>
      <c r="R143" s="585"/>
      <c r="S143" s="585"/>
      <c r="U143" s="281"/>
      <c r="V143" s="281"/>
      <c r="W143" s="281"/>
      <c r="X143" s="281"/>
      <c r="Y143" s="281"/>
      <c r="Z143" s="281"/>
      <c r="AA143" s="281"/>
      <c r="AB143" s="281"/>
      <c r="AC143" s="281"/>
      <c r="AD143" s="281"/>
      <c r="AE143" s="281"/>
      <c r="AF143" s="281"/>
      <c r="AG143" s="281"/>
      <c r="AH143" s="281"/>
      <c r="AI143" s="281"/>
      <c r="AJ143" s="281"/>
      <c r="AK143" s="281"/>
      <c r="AL143" s="281"/>
      <c r="AM143" s="281"/>
      <c r="AN143" s="281"/>
      <c r="AO143" s="281"/>
      <c r="AP143" s="281"/>
      <c r="AQ143" s="281"/>
      <c r="AR143" s="281"/>
      <c r="AS143" s="281"/>
      <c r="AT143" s="281"/>
      <c r="AU143" s="281"/>
    </row>
    <row r="144" spans="1:47" ht="25" customHeight="1" thickBot="1" x14ac:dyDescent="0.4">
      <c r="A144" s="113" t="s">
        <v>92</v>
      </c>
      <c r="B144" s="400">
        <v>7.1999999999999995E-2</v>
      </c>
      <c r="C144" s="400">
        <v>3.4000000000000002E-2</v>
      </c>
      <c r="D144" s="400">
        <v>-0.124</v>
      </c>
      <c r="E144" s="400">
        <v>0.09</v>
      </c>
      <c r="F144" s="117">
        <v>43.1</v>
      </c>
      <c r="G144" s="402">
        <f>F144*(1+$H$69)</f>
        <v>43.1</v>
      </c>
      <c r="H144" s="402">
        <f>G144*(1+$H$69)</f>
        <v>43.1</v>
      </c>
      <c r="I144" s="402">
        <f>H144*(1-$H$69)</f>
        <v>43.1</v>
      </c>
      <c r="J144" s="402">
        <f>I144*(1-$H$69)</f>
        <v>43.1</v>
      </c>
      <c r="K144" s="402">
        <f>J144*(1-$H$69)</f>
        <v>43.1</v>
      </c>
      <c r="L144" s="584"/>
      <c r="M144" s="584"/>
      <c r="N144" s="584"/>
      <c r="O144" s="584"/>
      <c r="P144" s="584"/>
      <c r="Q144" s="584"/>
      <c r="R144" s="584"/>
      <c r="S144" s="584"/>
      <c r="U144" s="281"/>
      <c r="V144" s="281"/>
      <c r="W144" s="281"/>
      <c r="X144" s="281"/>
      <c r="Y144" s="281"/>
      <c r="Z144" s="281"/>
      <c r="AA144" s="281"/>
      <c r="AB144" s="281"/>
      <c r="AC144" s="281"/>
      <c r="AD144" s="281"/>
      <c r="AE144" s="281"/>
      <c r="AF144" s="281"/>
      <c r="AG144" s="281"/>
      <c r="AH144" s="281"/>
      <c r="AI144" s="281"/>
      <c r="AJ144" s="281"/>
      <c r="AK144" s="281"/>
      <c r="AL144" s="281"/>
      <c r="AM144" s="281"/>
      <c r="AN144" s="281"/>
      <c r="AO144" s="281"/>
      <c r="AP144" s="281"/>
      <c r="AQ144" s="281"/>
      <c r="AR144" s="281"/>
      <c r="AS144" s="281"/>
      <c r="AT144" s="281"/>
      <c r="AU144" s="281"/>
    </row>
    <row r="145" spans="1:47" ht="25" customHeight="1" thickBot="1" x14ac:dyDescent="0.4">
      <c r="A145" s="110" t="s">
        <v>100</v>
      </c>
      <c r="B145" s="117">
        <v>52.1</v>
      </c>
      <c r="C145" s="117">
        <v>47</v>
      </c>
      <c r="D145" s="117">
        <v>39.200000000000003</v>
      </c>
      <c r="E145" s="117">
        <v>39.200000000000003</v>
      </c>
      <c r="F145" s="400">
        <v>0.10100000000000001</v>
      </c>
      <c r="G145" s="401">
        <f>AVERAGE(C145:F145)</f>
        <v>31.375250000000001</v>
      </c>
      <c r="H145" s="231"/>
      <c r="I145" s="231"/>
      <c r="J145" s="231"/>
      <c r="K145"/>
      <c r="L145" s="585"/>
      <c r="M145" s="585"/>
      <c r="N145" s="585"/>
      <c r="O145" s="585"/>
      <c r="P145" s="585"/>
      <c r="Q145" s="585"/>
      <c r="R145" s="585"/>
      <c r="S145" s="585"/>
      <c r="U145" s="281"/>
      <c r="V145" s="281"/>
      <c r="W145" s="281"/>
      <c r="X145" s="281"/>
      <c r="Y145" s="281"/>
      <c r="Z145" s="281"/>
      <c r="AA145" s="281"/>
      <c r="AB145" s="281"/>
      <c r="AC145" s="281"/>
      <c r="AD145" s="281"/>
      <c r="AE145" s="281"/>
      <c r="AF145" s="281"/>
      <c r="AG145" s="281"/>
      <c r="AH145" s="281"/>
      <c r="AI145" s="281"/>
      <c r="AJ145" s="281"/>
      <c r="AK145" s="281"/>
      <c r="AL145" s="281"/>
      <c r="AM145" s="281"/>
      <c r="AN145" s="281"/>
      <c r="AO145" s="281"/>
      <c r="AP145" s="281"/>
      <c r="AQ145" s="281"/>
      <c r="AR145" s="281"/>
      <c r="AS145" s="281"/>
      <c r="AT145" s="281"/>
      <c r="AU145" s="281"/>
    </row>
    <row r="146" spans="1:47" ht="25" customHeight="1" thickBot="1" x14ac:dyDescent="0.4">
      <c r="A146" s="113" t="s">
        <v>92</v>
      </c>
      <c r="B146" s="400">
        <v>0.16900000000000001</v>
      </c>
      <c r="C146" s="400">
        <v>-9.8000000000000004E-2</v>
      </c>
      <c r="D146" s="400">
        <v>-0.16600000000000001</v>
      </c>
      <c r="E146" s="400">
        <v>-1E-3</v>
      </c>
      <c r="F146" s="322"/>
      <c r="G146" s="379"/>
      <c r="H146" s="379"/>
      <c r="I146" s="379"/>
      <c r="J146" s="379"/>
      <c r="K146" s="379"/>
      <c r="L146" s="586"/>
      <c r="M146" s="586"/>
      <c r="N146" s="586"/>
      <c r="O146" s="586"/>
      <c r="P146" s="586"/>
      <c r="Q146" s="586"/>
      <c r="R146" s="586"/>
      <c r="S146" s="586"/>
      <c r="U146" s="281"/>
      <c r="V146" s="281"/>
      <c r="W146" s="281"/>
      <c r="X146" s="281"/>
      <c r="Y146" s="281"/>
      <c r="Z146" s="281"/>
      <c r="AA146" s="281"/>
      <c r="AB146" s="281"/>
      <c r="AC146" s="281"/>
      <c r="AD146" s="281"/>
      <c r="AE146" s="281"/>
      <c r="AF146" s="281"/>
      <c r="AG146" s="281"/>
      <c r="AH146" s="281"/>
      <c r="AI146" s="281"/>
      <c r="AJ146" s="281"/>
      <c r="AK146" s="281"/>
      <c r="AL146" s="281"/>
      <c r="AM146" s="281"/>
      <c r="AN146" s="281"/>
      <c r="AO146" s="281"/>
      <c r="AP146" s="281"/>
      <c r="AQ146" s="281"/>
      <c r="AR146" s="281"/>
      <c r="AS146" s="281"/>
      <c r="AT146" s="281"/>
      <c r="AU146" s="281"/>
    </row>
    <row r="147" spans="1:47" ht="25" customHeight="1" thickBot="1" x14ac:dyDescent="0.4">
      <c r="A147" s="330"/>
      <c r="B147" s="322"/>
      <c r="C147" s="322"/>
      <c r="D147" s="322"/>
      <c r="E147" s="322"/>
      <c r="F147" s="322">
        <f>F138/365*F3</f>
        <v>5453.5545216438368</v>
      </c>
      <c r="G147" s="379"/>
      <c r="H147" s="379"/>
      <c r="I147" s="379"/>
      <c r="J147" s="262"/>
      <c r="K147" s="262"/>
      <c r="L147" s="585"/>
      <c r="M147" s="585"/>
      <c r="N147" s="585"/>
      <c r="O147" s="585"/>
      <c r="P147" s="585"/>
      <c r="Q147" s="585"/>
      <c r="R147" s="585"/>
      <c r="S147" s="585"/>
      <c r="U147" s="281"/>
      <c r="V147" s="281"/>
      <c r="W147" s="281"/>
      <c r="X147" s="281"/>
      <c r="Y147" s="281"/>
      <c r="Z147" s="281"/>
      <c r="AA147" s="281"/>
      <c r="AB147" s="281"/>
      <c r="AC147" s="281"/>
      <c r="AD147" s="281"/>
      <c r="AE147" s="281"/>
      <c r="AF147" s="281"/>
      <c r="AG147" s="281"/>
      <c r="AH147" s="281"/>
      <c r="AI147" s="281"/>
      <c r="AJ147" s="281"/>
      <c r="AK147" s="281"/>
      <c r="AL147" s="281"/>
      <c r="AM147" s="281"/>
      <c r="AN147" s="281"/>
      <c r="AO147" s="281"/>
      <c r="AP147" s="281"/>
      <c r="AQ147" s="281"/>
      <c r="AR147" s="281"/>
      <c r="AS147" s="281"/>
      <c r="AT147" s="281"/>
      <c r="AU147" s="281"/>
    </row>
    <row r="148" spans="1:47" ht="25" customHeight="1" x14ac:dyDescent="0.35">
      <c r="A148" s="330" t="s">
        <v>101</v>
      </c>
      <c r="B148" s="322">
        <f>B139/365*B3</f>
        <v>4003.3485205479446</v>
      </c>
      <c r="C148" s="322">
        <f>C139/365*C3</f>
        <v>3965.413044109589</v>
      </c>
      <c r="D148" s="322">
        <f>D139/365*D3</f>
        <v>4378.7738761643841</v>
      </c>
      <c r="E148" s="322">
        <f>E139/365*E3</f>
        <v>5007.054657534246</v>
      </c>
      <c r="F148" s="322"/>
      <c r="G148" s="379"/>
      <c r="H148" s="379"/>
      <c r="I148" s="379"/>
      <c r="J148" s="262"/>
      <c r="K148" s="262"/>
      <c r="L148" s="587"/>
      <c r="M148" s="587"/>
      <c r="N148" s="587"/>
      <c r="O148" s="587"/>
      <c r="P148" s="587"/>
      <c r="Q148" s="587"/>
      <c r="R148" s="587"/>
      <c r="S148" s="587"/>
      <c r="U148" s="281"/>
      <c r="V148" s="281"/>
      <c r="W148" s="281"/>
      <c r="X148" s="281"/>
      <c r="Y148" s="281"/>
      <c r="Z148" s="281"/>
      <c r="AA148" s="281"/>
      <c r="AB148" s="281"/>
      <c r="AC148" s="281"/>
      <c r="AD148" s="281"/>
      <c r="AE148" s="281"/>
      <c r="AF148" s="281"/>
      <c r="AG148" s="281"/>
      <c r="AH148" s="281"/>
      <c r="AI148" s="281"/>
      <c r="AJ148" s="281"/>
      <c r="AK148" s="281"/>
      <c r="AL148" s="281"/>
      <c r="AM148" s="281"/>
      <c r="AN148" s="281"/>
      <c r="AO148" s="281"/>
      <c r="AP148" s="281"/>
      <c r="AQ148" s="281"/>
      <c r="AR148" s="281"/>
      <c r="AS148" s="281"/>
      <c r="AT148" s="281"/>
      <c r="AU148" s="281"/>
    </row>
    <row r="149" spans="1:47" ht="25" customHeight="1" x14ac:dyDescent="0.35">
      <c r="L149" s="587"/>
      <c r="M149" s="587"/>
      <c r="N149" s="587"/>
      <c r="O149" s="587"/>
      <c r="P149" s="587"/>
      <c r="Q149" s="587"/>
      <c r="R149" s="587"/>
      <c r="S149" s="587"/>
      <c r="U149" s="281"/>
      <c r="V149" s="281"/>
      <c r="W149" s="281"/>
      <c r="X149" s="281"/>
      <c r="Y149" s="281"/>
      <c r="Z149" s="281"/>
      <c r="AA149" s="281"/>
      <c r="AB149" s="281"/>
      <c r="AC149" s="281"/>
      <c r="AD149" s="281"/>
      <c r="AE149" s="281"/>
      <c r="AF149" s="281"/>
      <c r="AG149" s="281"/>
      <c r="AH149" s="281"/>
      <c r="AI149" s="281"/>
      <c r="AJ149" s="281"/>
      <c r="AK149" s="281"/>
      <c r="AL149" s="281"/>
      <c r="AM149" s="281"/>
      <c r="AN149" s="281"/>
      <c r="AO149" s="281"/>
      <c r="AP149" s="281"/>
      <c r="AQ149" s="281"/>
      <c r="AR149" s="281"/>
      <c r="AS149" s="281"/>
      <c r="AT149" s="281"/>
      <c r="AU149" s="281"/>
    </row>
    <row r="150" spans="1:47" ht="25" customHeight="1" thickBot="1" x14ac:dyDescent="0.4">
      <c r="L150" s="587"/>
      <c r="M150" s="587"/>
      <c r="N150" s="587"/>
      <c r="O150" s="587"/>
      <c r="P150" s="587"/>
      <c r="Q150" s="587"/>
      <c r="R150" s="587"/>
      <c r="S150" s="587"/>
      <c r="U150" s="281"/>
      <c r="V150" s="281"/>
      <c r="W150" s="281"/>
      <c r="X150" s="281"/>
      <c r="Y150" s="281"/>
      <c r="Z150" s="281"/>
      <c r="AA150" s="281"/>
      <c r="AB150" s="281"/>
      <c r="AC150" s="281"/>
      <c r="AD150" s="281"/>
      <c r="AE150" s="281"/>
      <c r="AF150" s="281"/>
      <c r="AG150" s="281"/>
      <c r="AH150" s="281"/>
      <c r="AI150" s="281"/>
      <c r="AJ150" s="281"/>
      <c r="AK150" s="281"/>
      <c r="AL150" s="281"/>
      <c r="AM150" s="281"/>
      <c r="AN150" s="281"/>
      <c r="AO150" s="281"/>
      <c r="AP150" s="281"/>
      <c r="AQ150" s="281"/>
      <c r="AR150" s="281"/>
      <c r="AS150" s="281"/>
      <c r="AT150" s="281"/>
      <c r="AU150" s="281"/>
    </row>
    <row r="151" spans="1:47" ht="25" customHeight="1" x14ac:dyDescent="0.35">
      <c r="A151" s="330"/>
      <c r="B151" s="322"/>
      <c r="C151" s="322"/>
      <c r="D151" s="322"/>
      <c r="E151" s="322"/>
      <c r="F151" s="322"/>
      <c r="G151" s="379"/>
      <c r="H151" s="379"/>
      <c r="I151" s="379"/>
      <c r="J151" s="379"/>
      <c r="K151" s="379"/>
      <c r="L151" s="587"/>
      <c r="M151" s="587"/>
      <c r="N151" s="587"/>
      <c r="O151" s="587"/>
      <c r="P151" s="587"/>
      <c r="Q151" s="587"/>
      <c r="R151" s="587"/>
      <c r="S151" s="587"/>
      <c r="U151" s="281"/>
      <c r="V151" s="281"/>
      <c r="W151" s="281"/>
      <c r="X151" s="281"/>
      <c r="Y151" s="281"/>
      <c r="Z151" s="281"/>
      <c r="AA151" s="281"/>
      <c r="AB151" s="281"/>
      <c r="AC151" s="281"/>
      <c r="AD151" s="281"/>
      <c r="AE151" s="281"/>
      <c r="AF151" s="281"/>
      <c r="AG151" s="281"/>
      <c r="AH151" s="281"/>
      <c r="AI151" s="281"/>
      <c r="AJ151" s="281"/>
      <c r="AK151" s="281"/>
      <c r="AL151" s="281"/>
      <c r="AM151" s="281"/>
      <c r="AN151" s="281"/>
      <c r="AO151" s="281"/>
      <c r="AP151" s="281"/>
      <c r="AQ151" s="281"/>
      <c r="AR151" s="281"/>
      <c r="AS151" s="281"/>
      <c r="AT151" s="281"/>
      <c r="AU151" s="281"/>
    </row>
    <row r="152" spans="1:47" ht="25" customHeight="1" x14ac:dyDescent="0.35">
      <c r="A152" s="330"/>
      <c r="B152" s="322"/>
      <c r="C152" s="322"/>
      <c r="D152" s="322"/>
      <c r="E152" s="322"/>
      <c r="F152" s="322"/>
      <c r="G152" s="322"/>
      <c r="H152" s="322"/>
      <c r="I152" s="322"/>
      <c r="J152" s="322"/>
      <c r="K152" s="322"/>
      <c r="L152" s="576"/>
      <c r="M152" s="576"/>
      <c r="N152" s="576"/>
      <c r="O152" s="576"/>
      <c r="P152" s="576"/>
      <c r="Q152" s="576"/>
      <c r="R152" s="576"/>
      <c r="S152" s="576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</row>
    <row r="153" spans="1:47" ht="25" customHeight="1" x14ac:dyDescent="0.35">
      <c r="A153" s="330"/>
      <c r="B153" s="322"/>
      <c r="C153" s="322"/>
      <c r="D153" s="322"/>
      <c r="E153" s="322"/>
      <c r="F153" s="322"/>
      <c r="G153" s="322"/>
      <c r="H153" s="322"/>
      <c r="I153" s="322"/>
      <c r="J153" s="322"/>
      <c r="K153" s="322"/>
      <c r="L153" s="576"/>
      <c r="M153" s="576"/>
      <c r="N153" s="576"/>
      <c r="O153" s="576"/>
      <c r="P153" s="576"/>
      <c r="Q153" s="576"/>
      <c r="R153" s="576"/>
      <c r="S153" s="576"/>
      <c r="U153" s="281"/>
      <c r="V153" s="281"/>
      <c r="W153" s="281"/>
      <c r="X153" s="281"/>
      <c r="Y153" s="281"/>
      <c r="Z153" s="281"/>
      <c r="AA153" s="281"/>
      <c r="AB153" s="281"/>
      <c r="AC153" s="281"/>
      <c r="AD153" s="281"/>
      <c r="AE153" s="281"/>
      <c r="AF153" s="281"/>
      <c r="AG153" s="281"/>
      <c r="AH153" s="281"/>
      <c r="AI153" s="281"/>
      <c r="AJ153" s="281"/>
      <c r="AK153" s="281"/>
      <c r="AL153" s="281"/>
      <c r="AM153" s="281"/>
      <c r="AN153" s="281"/>
      <c r="AO153" s="281"/>
      <c r="AP153" s="281"/>
      <c r="AQ153" s="281"/>
      <c r="AR153" s="281"/>
      <c r="AS153" s="281"/>
      <c r="AT153" s="281"/>
      <c r="AU153" s="281"/>
    </row>
    <row r="154" spans="1:47" ht="25" customHeight="1" x14ac:dyDescent="0.35">
      <c r="A154" s="330"/>
      <c r="B154" s="322"/>
      <c r="C154" s="322"/>
      <c r="D154" s="322"/>
      <c r="E154" s="322"/>
      <c r="F154" s="322"/>
      <c r="G154" s="322"/>
      <c r="H154" s="322"/>
      <c r="I154" s="322"/>
      <c r="J154" s="322"/>
      <c r="K154" s="322"/>
      <c r="L154" s="576"/>
      <c r="M154" s="576"/>
      <c r="N154" s="576"/>
      <c r="O154" s="576"/>
      <c r="P154" s="576"/>
      <c r="Q154" s="576"/>
      <c r="R154" s="576"/>
      <c r="S154" s="576"/>
      <c r="U154" s="281"/>
      <c r="V154" s="281"/>
      <c r="W154" s="281"/>
      <c r="X154" s="281"/>
      <c r="Y154" s="281"/>
      <c r="Z154" s="281"/>
      <c r="AA154" s="281"/>
      <c r="AB154" s="281"/>
      <c r="AC154" s="281"/>
      <c r="AD154" s="281"/>
      <c r="AE154" s="281"/>
      <c r="AF154" s="281"/>
      <c r="AG154" s="281"/>
      <c r="AH154" s="281"/>
      <c r="AI154" s="281"/>
      <c r="AJ154" s="281"/>
      <c r="AK154" s="281"/>
      <c r="AL154" s="281"/>
      <c r="AM154" s="281"/>
      <c r="AN154" s="281"/>
      <c r="AO154" s="281"/>
      <c r="AP154" s="281"/>
      <c r="AQ154" s="281"/>
      <c r="AR154" s="281"/>
      <c r="AS154" s="281"/>
      <c r="AT154" s="281"/>
      <c r="AU154" s="281"/>
    </row>
    <row r="155" spans="1:47" ht="25" customHeight="1" x14ac:dyDescent="0.35">
      <c r="A155" s="330"/>
      <c r="B155" s="322"/>
      <c r="C155" s="322"/>
      <c r="D155" s="322"/>
      <c r="E155" s="322"/>
      <c r="F155" s="322"/>
      <c r="G155" s="322"/>
      <c r="H155" s="322"/>
      <c r="I155" s="322"/>
      <c r="J155" s="322"/>
      <c r="K155" s="322"/>
      <c r="L155" s="576"/>
      <c r="M155" s="576"/>
      <c r="N155" s="576"/>
      <c r="O155" s="576"/>
      <c r="P155" s="576"/>
      <c r="Q155" s="576"/>
      <c r="R155" s="576"/>
      <c r="S155" s="576"/>
      <c r="U155" s="281"/>
      <c r="V155" s="281"/>
      <c r="W155" s="281"/>
      <c r="X155" s="281"/>
      <c r="Y155" s="281"/>
      <c r="Z155" s="281"/>
      <c r="AA155" s="281"/>
      <c r="AB155" s="281"/>
      <c r="AC155" s="281"/>
      <c r="AD155" s="281"/>
      <c r="AE155" s="281"/>
      <c r="AF155" s="281"/>
      <c r="AG155" s="281"/>
      <c r="AH155" s="281"/>
      <c r="AI155" s="281"/>
      <c r="AJ155" s="281"/>
      <c r="AK155" s="281"/>
      <c r="AL155" s="281"/>
      <c r="AM155" s="281"/>
      <c r="AN155" s="281"/>
      <c r="AO155" s="281"/>
      <c r="AP155" s="281"/>
      <c r="AQ155" s="281"/>
      <c r="AR155" s="281"/>
      <c r="AS155" s="281"/>
      <c r="AT155" s="281"/>
      <c r="AU155" s="281"/>
    </row>
    <row r="156" spans="1:47" ht="25" customHeight="1" x14ac:dyDescent="0.35">
      <c r="A156" s="330"/>
      <c r="B156" s="322"/>
      <c r="C156" s="322"/>
      <c r="D156" s="322"/>
      <c r="E156" s="322"/>
      <c r="F156" s="322"/>
      <c r="G156" s="322"/>
      <c r="H156" s="322"/>
      <c r="I156" s="322"/>
      <c r="J156" s="322"/>
      <c r="K156" s="322"/>
      <c r="L156" s="576"/>
      <c r="M156" s="576"/>
      <c r="N156" s="576"/>
      <c r="O156" s="576"/>
      <c r="P156" s="576"/>
      <c r="Q156" s="576"/>
      <c r="R156" s="576"/>
      <c r="S156" s="576"/>
      <c r="U156" s="281"/>
      <c r="V156" s="281"/>
      <c r="W156" s="281"/>
      <c r="X156" s="281"/>
      <c r="Y156" s="281"/>
      <c r="Z156" s="281"/>
      <c r="AA156" s="281"/>
      <c r="AB156" s="281"/>
      <c r="AC156" s="281"/>
      <c r="AD156" s="281"/>
      <c r="AE156" s="281"/>
      <c r="AF156" s="281"/>
      <c r="AG156" s="281"/>
      <c r="AH156" s="281"/>
      <c r="AI156" s="281"/>
      <c r="AJ156" s="281"/>
      <c r="AK156" s="281"/>
      <c r="AL156" s="281"/>
      <c r="AM156" s="281"/>
      <c r="AN156" s="281"/>
      <c r="AO156" s="281"/>
      <c r="AP156" s="281"/>
      <c r="AQ156" s="281"/>
      <c r="AR156" s="281"/>
      <c r="AS156" s="281"/>
      <c r="AT156" s="281"/>
      <c r="AU156" s="281"/>
    </row>
    <row r="157" spans="1:47" ht="25" customHeight="1" x14ac:dyDescent="0.35">
      <c r="A157" s="330"/>
      <c r="B157" s="322"/>
      <c r="C157" s="322"/>
      <c r="D157" s="322"/>
      <c r="E157" s="322"/>
      <c r="F157" s="423"/>
      <c r="G157" s="423">
        <v>1</v>
      </c>
      <c r="H157" s="423">
        <v>2</v>
      </c>
      <c r="I157" s="423">
        <v>3</v>
      </c>
      <c r="J157" s="423">
        <v>4</v>
      </c>
      <c r="K157" s="423">
        <v>5</v>
      </c>
      <c r="L157" s="576"/>
      <c r="M157" s="576"/>
      <c r="N157" s="576"/>
      <c r="O157" s="576"/>
      <c r="P157" s="576"/>
      <c r="Q157" s="576"/>
      <c r="R157" s="576"/>
      <c r="S157" s="576"/>
      <c r="U157" s="281"/>
      <c r="V157" s="281"/>
      <c r="W157" s="281"/>
      <c r="X157" s="281"/>
      <c r="Y157" s="281"/>
      <c r="Z157" s="281"/>
      <c r="AA157" s="281"/>
      <c r="AB157" s="281"/>
      <c r="AC157" s="281"/>
      <c r="AD157" s="281"/>
      <c r="AE157" s="281"/>
      <c r="AF157" s="281"/>
      <c r="AG157" s="281"/>
      <c r="AH157" s="281"/>
      <c r="AI157" s="281"/>
      <c r="AJ157" s="281"/>
      <c r="AK157" s="281"/>
      <c r="AL157" s="281"/>
      <c r="AM157" s="281"/>
      <c r="AN157" s="281"/>
      <c r="AO157" s="281"/>
      <c r="AP157" s="281"/>
      <c r="AQ157" s="281"/>
      <c r="AR157" s="281"/>
      <c r="AS157" s="281"/>
      <c r="AT157" s="281"/>
      <c r="AU157" s="281"/>
    </row>
    <row r="158" spans="1:47" ht="18" customHeight="1" x14ac:dyDescent="0.35">
      <c r="A158" s="330"/>
      <c r="B158" s="322"/>
      <c r="C158" s="322"/>
      <c r="D158" s="322"/>
      <c r="E158" s="421"/>
      <c r="L158" s="588"/>
      <c r="M158" s="588"/>
      <c r="N158" s="588"/>
      <c r="O158" s="588"/>
      <c r="P158" s="588"/>
      <c r="Q158" s="588"/>
      <c r="R158" s="588"/>
      <c r="S158" s="588"/>
      <c r="U158" s="281"/>
      <c r="V158" s="281"/>
      <c r="W158" s="281"/>
      <c r="X158" s="281"/>
      <c r="Y158" s="281"/>
      <c r="Z158" s="281"/>
      <c r="AA158" s="281"/>
      <c r="AB158" s="281"/>
      <c r="AC158" s="281"/>
      <c r="AD158" s="281"/>
      <c r="AE158" s="281"/>
      <c r="AF158" s="281"/>
      <c r="AG158" s="281"/>
      <c r="AH158" s="281"/>
      <c r="AI158" s="281"/>
      <c r="AJ158" s="281"/>
      <c r="AK158" s="281"/>
      <c r="AL158" s="281"/>
      <c r="AM158" s="281"/>
      <c r="AN158" s="281"/>
      <c r="AO158" s="281"/>
      <c r="AP158" s="281"/>
      <c r="AQ158" s="281"/>
      <c r="AR158" s="281"/>
      <c r="AS158" s="281"/>
      <c r="AT158" s="281"/>
      <c r="AU158" s="281"/>
    </row>
    <row r="159" spans="1:47" ht="18" customHeight="1" x14ac:dyDescent="0.35">
      <c r="A159" s="330"/>
      <c r="B159" s="322"/>
      <c r="C159" s="322"/>
      <c r="D159" s="322"/>
      <c r="E159" s="421"/>
      <c r="L159" s="589"/>
      <c r="M159" s="589"/>
      <c r="N159" s="589"/>
      <c r="O159" s="589"/>
      <c r="P159" s="589"/>
      <c r="Q159" s="589"/>
      <c r="R159" s="589"/>
      <c r="S159" s="589"/>
      <c r="U159" s="281"/>
      <c r="V159" s="281"/>
      <c r="W159" s="281"/>
      <c r="X159" s="281"/>
      <c r="Y159" s="281"/>
      <c r="Z159" s="281"/>
      <c r="AA159" s="281"/>
      <c r="AB159" s="281"/>
      <c r="AC159" s="281"/>
      <c r="AD159" s="281"/>
      <c r="AE159" s="281"/>
      <c r="AF159" s="281"/>
      <c r="AG159" s="281"/>
      <c r="AH159" s="281"/>
      <c r="AI159" s="281"/>
      <c r="AJ159" s="281"/>
      <c r="AK159" s="281"/>
      <c r="AL159" s="281"/>
      <c r="AM159" s="281"/>
      <c r="AN159" s="281"/>
      <c r="AO159" s="281"/>
      <c r="AP159" s="281"/>
      <c r="AQ159" s="281"/>
      <c r="AR159" s="281"/>
      <c r="AS159" s="281"/>
      <c r="AT159" s="281"/>
      <c r="AU159" s="281"/>
    </row>
    <row r="160" spans="1:47" ht="18" customHeight="1" x14ac:dyDescent="0.35">
      <c r="A160" s="330"/>
      <c r="B160" s="322"/>
      <c r="C160" s="322"/>
      <c r="D160" s="322"/>
      <c r="E160" s="421"/>
      <c r="L160" s="589"/>
      <c r="M160" s="589"/>
      <c r="N160" s="589"/>
      <c r="O160" s="589"/>
      <c r="P160" s="589"/>
      <c r="Q160" s="589"/>
      <c r="R160" s="589"/>
      <c r="S160" s="589"/>
      <c r="U160" s="281"/>
      <c r="V160" s="281"/>
      <c r="W160" s="281"/>
      <c r="X160" s="281"/>
      <c r="Y160" s="281"/>
      <c r="Z160" s="281"/>
      <c r="AA160" s="281"/>
      <c r="AB160" s="281"/>
      <c r="AC160" s="281"/>
      <c r="AD160" s="281"/>
      <c r="AE160" s="281"/>
      <c r="AF160" s="281"/>
      <c r="AG160" s="281"/>
      <c r="AH160" s="281"/>
      <c r="AI160" s="281"/>
      <c r="AJ160" s="281"/>
      <c r="AK160" s="281"/>
      <c r="AL160" s="281"/>
      <c r="AM160" s="281"/>
      <c r="AN160" s="281"/>
      <c r="AO160" s="281"/>
      <c r="AP160" s="281"/>
      <c r="AQ160" s="281"/>
      <c r="AR160" s="281"/>
      <c r="AS160" s="281"/>
      <c r="AT160" s="281"/>
      <c r="AU160" s="281"/>
    </row>
    <row r="161" spans="1:47" ht="18" customHeight="1" x14ac:dyDescent="0.35">
      <c r="A161" s="330"/>
      <c r="B161" s="322"/>
      <c r="C161" s="322"/>
      <c r="D161" s="322"/>
      <c r="E161" s="421"/>
      <c r="L161" s="589"/>
      <c r="M161" s="589"/>
      <c r="N161" s="589"/>
      <c r="O161" s="589"/>
      <c r="P161" s="589"/>
      <c r="Q161" s="589"/>
      <c r="R161" s="589"/>
      <c r="S161" s="589"/>
      <c r="T161" s="286"/>
      <c r="U161" s="281"/>
      <c r="V161" s="281"/>
      <c r="W161" s="281"/>
      <c r="X161" s="281"/>
      <c r="Y161" s="281"/>
      <c r="Z161" s="281"/>
      <c r="AA161" s="281"/>
      <c r="AB161" s="281"/>
      <c r="AC161" s="281"/>
      <c r="AD161" s="281"/>
      <c r="AE161" s="281"/>
      <c r="AF161" s="281"/>
      <c r="AG161" s="281"/>
      <c r="AH161" s="281"/>
      <c r="AI161" s="281"/>
      <c r="AJ161" s="281"/>
      <c r="AK161" s="281"/>
      <c r="AL161" s="281"/>
      <c r="AM161" s="281"/>
      <c r="AN161" s="281"/>
      <c r="AO161" s="281"/>
      <c r="AP161" s="281"/>
      <c r="AQ161" s="281"/>
      <c r="AR161" s="281"/>
      <c r="AS161" s="281"/>
      <c r="AT161" s="281"/>
      <c r="AU161" s="281"/>
    </row>
    <row r="162" spans="1:47" ht="18" customHeight="1" x14ac:dyDescent="0.35">
      <c r="A162" s="330"/>
      <c r="B162" s="322"/>
      <c r="C162" s="322"/>
      <c r="D162" s="322"/>
      <c r="E162" s="421"/>
      <c r="L162" s="589"/>
      <c r="M162" s="589"/>
      <c r="N162" s="589"/>
      <c r="O162" s="589"/>
      <c r="P162" s="589"/>
      <c r="Q162" s="589"/>
      <c r="R162" s="589"/>
      <c r="S162" s="589"/>
      <c r="T162" s="286"/>
      <c r="U162" s="281"/>
      <c r="V162" s="281"/>
      <c r="W162" s="281"/>
      <c r="X162" s="281"/>
      <c r="Y162" s="281"/>
      <c r="Z162" s="281"/>
      <c r="AA162" s="281"/>
      <c r="AB162" s="281"/>
      <c r="AC162" s="281"/>
      <c r="AD162" s="281"/>
      <c r="AE162" s="281"/>
      <c r="AF162" s="281"/>
      <c r="AG162" s="281"/>
      <c r="AH162" s="281"/>
      <c r="AI162" s="281"/>
      <c r="AJ162" s="281"/>
      <c r="AK162" s="281"/>
      <c r="AL162" s="281"/>
      <c r="AM162" s="281"/>
      <c r="AN162" s="281"/>
      <c r="AO162" s="281"/>
      <c r="AP162" s="281"/>
      <c r="AQ162" s="281"/>
      <c r="AR162" s="281"/>
      <c r="AS162" s="281"/>
      <c r="AT162" s="281"/>
      <c r="AU162" s="281"/>
    </row>
    <row r="163" spans="1:47" ht="18" customHeight="1" x14ac:dyDescent="0.35">
      <c r="A163" s="330"/>
      <c r="B163" s="322"/>
      <c r="C163" s="322"/>
      <c r="D163" s="322"/>
      <c r="E163" s="421"/>
      <c r="L163" s="589"/>
      <c r="M163" s="589"/>
      <c r="N163" s="589"/>
      <c r="O163" s="589"/>
      <c r="P163" s="589"/>
      <c r="Q163" s="589"/>
      <c r="R163" s="589"/>
      <c r="S163" s="589"/>
      <c r="T163" s="286"/>
      <c r="U163" s="281"/>
      <c r="V163" s="281"/>
      <c r="W163" s="281"/>
      <c r="X163" s="281"/>
      <c r="Y163" s="281"/>
      <c r="Z163" s="281"/>
      <c r="AA163" s="281"/>
      <c r="AB163" s="281"/>
      <c r="AC163" s="281"/>
      <c r="AD163" s="281"/>
      <c r="AE163" s="281"/>
      <c r="AF163" s="281"/>
      <c r="AG163" s="281"/>
      <c r="AH163" s="281"/>
      <c r="AI163" s="281"/>
      <c r="AJ163" s="281"/>
      <c r="AK163" s="281"/>
      <c r="AL163" s="281"/>
      <c r="AM163" s="281"/>
      <c r="AN163" s="281"/>
      <c r="AO163" s="281"/>
      <c r="AP163" s="281"/>
      <c r="AQ163" s="281"/>
      <c r="AR163" s="281"/>
      <c r="AS163" s="281"/>
      <c r="AT163" s="281"/>
      <c r="AU163" s="281"/>
    </row>
    <row r="164" spans="1:47" ht="18" customHeight="1" x14ac:dyDescent="0.35">
      <c r="A164" s="330"/>
      <c r="B164" s="322"/>
      <c r="C164" s="322"/>
      <c r="D164" s="322"/>
      <c r="E164" s="421"/>
      <c r="L164" s="590"/>
      <c r="M164" s="590"/>
      <c r="N164" s="590"/>
      <c r="O164" s="590"/>
      <c r="P164" s="590"/>
      <c r="Q164" s="590"/>
      <c r="R164" s="590"/>
      <c r="S164" s="590"/>
      <c r="T164" s="286"/>
      <c r="U164" s="281"/>
      <c r="V164" s="281"/>
      <c r="W164" s="281"/>
      <c r="X164" s="281"/>
      <c r="Y164" s="281"/>
      <c r="Z164" s="281"/>
      <c r="AA164" s="281"/>
      <c r="AB164" s="281"/>
      <c r="AC164" s="281"/>
      <c r="AD164" s="281"/>
      <c r="AE164" s="281"/>
      <c r="AF164" s="281"/>
      <c r="AG164" s="281"/>
      <c r="AH164" s="281"/>
      <c r="AI164" s="281"/>
      <c r="AJ164" s="281"/>
      <c r="AK164" s="281"/>
      <c r="AL164" s="281"/>
      <c r="AM164" s="281"/>
      <c r="AN164" s="281"/>
      <c r="AO164" s="281"/>
      <c r="AP164" s="281"/>
      <c r="AQ164" s="281"/>
      <c r="AR164" s="281"/>
      <c r="AS164" s="281"/>
      <c r="AT164" s="281"/>
      <c r="AU164" s="281"/>
    </row>
    <row r="165" spans="1:47" ht="18" customHeight="1" x14ac:dyDescent="0.35">
      <c r="A165" s="330"/>
      <c r="B165" s="322"/>
      <c r="C165" s="322"/>
      <c r="D165" s="322"/>
      <c r="E165" s="421"/>
      <c r="L165" s="591"/>
      <c r="M165" s="591"/>
      <c r="N165" s="591"/>
      <c r="O165" s="591"/>
      <c r="P165" s="591"/>
      <c r="Q165" s="591"/>
      <c r="R165" s="591"/>
      <c r="S165" s="591"/>
      <c r="U165" s="281"/>
      <c r="V165" s="281"/>
      <c r="W165" s="281"/>
      <c r="X165" s="281"/>
      <c r="Y165" s="281"/>
      <c r="Z165" s="281"/>
      <c r="AA165" s="281"/>
      <c r="AB165" s="281"/>
      <c r="AC165" s="281"/>
      <c r="AD165" s="281"/>
      <c r="AE165" s="281"/>
      <c r="AF165" s="281"/>
      <c r="AG165" s="281"/>
      <c r="AH165" s="281"/>
      <c r="AI165" s="281"/>
      <c r="AJ165" s="281"/>
      <c r="AK165" s="281"/>
      <c r="AL165" s="281"/>
      <c r="AM165" s="281"/>
      <c r="AN165" s="281"/>
      <c r="AO165" s="281"/>
      <c r="AP165" s="281"/>
      <c r="AQ165" s="281"/>
      <c r="AR165" s="281"/>
      <c r="AS165" s="281"/>
      <c r="AT165" s="281"/>
      <c r="AU165" s="281"/>
    </row>
    <row r="166" spans="1:47" ht="18" customHeight="1" x14ac:dyDescent="0.35">
      <c r="A166" s="330"/>
      <c r="B166" s="322"/>
      <c r="C166" s="322"/>
      <c r="D166" s="322"/>
      <c r="E166" s="421"/>
      <c r="L166" s="591"/>
      <c r="M166" s="591"/>
      <c r="N166" s="591"/>
      <c r="O166" s="591"/>
      <c r="P166" s="591"/>
      <c r="Q166" s="591"/>
      <c r="R166" s="591"/>
      <c r="S166" s="591"/>
      <c r="U166" s="281"/>
      <c r="V166" s="281"/>
      <c r="W166" s="281"/>
      <c r="X166" s="281"/>
      <c r="Y166" s="281"/>
      <c r="Z166" s="281"/>
      <c r="AA166" s="281"/>
      <c r="AB166" s="281"/>
      <c r="AC166" s="281"/>
      <c r="AD166" s="281"/>
      <c r="AE166" s="281"/>
      <c r="AF166" s="281"/>
      <c r="AG166" s="281"/>
      <c r="AH166" s="281"/>
      <c r="AI166" s="281"/>
      <c r="AJ166" s="281"/>
      <c r="AK166" s="281"/>
      <c r="AL166" s="281"/>
      <c r="AM166" s="281"/>
      <c r="AN166" s="281"/>
      <c r="AO166" s="281"/>
      <c r="AP166" s="281"/>
      <c r="AQ166" s="281"/>
      <c r="AR166" s="281"/>
      <c r="AS166" s="281"/>
      <c r="AT166" s="281"/>
      <c r="AU166" s="281"/>
    </row>
    <row r="167" spans="1:47" ht="18" customHeight="1" x14ac:dyDescent="0.35">
      <c r="A167" s="330"/>
      <c r="B167" s="322"/>
      <c r="C167" s="322"/>
      <c r="D167" s="322"/>
      <c r="E167" s="421"/>
      <c r="L167" s="592"/>
      <c r="M167" s="592"/>
      <c r="N167" s="592"/>
      <c r="O167" s="592"/>
      <c r="P167" s="592"/>
      <c r="Q167" s="592"/>
      <c r="R167" s="592"/>
      <c r="S167" s="592"/>
      <c r="U167" s="281"/>
      <c r="V167" s="281"/>
      <c r="W167" s="281"/>
      <c r="X167" s="281"/>
      <c r="Y167" s="281"/>
      <c r="Z167" s="281"/>
      <c r="AA167" s="281"/>
      <c r="AB167" s="281"/>
      <c r="AC167" s="281"/>
      <c r="AD167" s="281"/>
      <c r="AE167" s="281"/>
      <c r="AF167" s="281"/>
      <c r="AG167" s="281"/>
      <c r="AH167" s="281"/>
      <c r="AI167" s="281"/>
      <c r="AJ167" s="281"/>
      <c r="AK167" s="281"/>
      <c r="AL167" s="281"/>
      <c r="AM167" s="281"/>
      <c r="AN167" s="281"/>
      <c r="AO167" s="281"/>
      <c r="AP167" s="281"/>
      <c r="AQ167" s="281"/>
      <c r="AR167" s="281"/>
      <c r="AS167" s="281"/>
      <c r="AT167" s="281"/>
      <c r="AU167" s="281"/>
    </row>
    <row r="168" spans="1:47" ht="18" customHeight="1" x14ac:dyDescent="0.35">
      <c r="A168" s="330"/>
      <c r="B168" s="322"/>
      <c r="C168" s="322"/>
      <c r="D168" s="322"/>
      <c r="E168" s="421"/>
      <c r="L168" s="593"/>
      <c r="M168" s="593"/>
      <c r="N168" s="593"/>
      <c r="O168" s="593"/>
      <c r="P168" s="593"/>
      <c r="Q168" s="593"/>
      <c r="R168" s="593"/>
      <c r="S168" s="593"/>
      <c r="U168" s="281"/>
      <c r="V168" s="281"/>
      <c r="W168" s="281"/>
      <c r="X168" s="281"/>
      <c r="Y168" s="281"/>
      <c r="Z168" s="281"/>
      <c r="AA168" s="281"/>
      <c r="AB168" s="281"/>
      <c r="AC168" s="281"/>
      <c r="AD168" s="281"/>
      <c r="AE168" s="281"/>
      <c r="AF168" s="281"/>
      <c r="AG168" s="281"/>
      <c r="AH168" s="281"/>
      <c r="AI168" s="281"/>
      <c r="AJ168" s="281"/>
      <c r="AK168" s="281"/>
      <c r="AL168" s="281"/>
      <c r="AM168" s="281"/>
      <c r="AN168" s="281"/>
      <c r="AO168" s="281"/>
      <c r="AP168" s="281"/>
      <c r="AQ168" s="281"/>
      <c r="AR168" s="281"/>
      <c r="AS168" s="281"/>
      <c r="AT168" s="281"/>
      <c r="AU168" s="281"/>
    </row>
    <row r="169" spans="1:47" ht="18" customHeight="1" x14ac:dyDescent="0.35">
      <c r="A169" s="330"/>
      <c r="B169" s="322"/>
      <c r="C169" s="322"/>
      <c r="D169" s="322"/>
      <c r="E169" s="421"/>
      <c r="L169" s="592"/>
      <c r="M169" s="592"/>
      <c r="N169" s="592"/>
      <c r="O169" s="592"/>
      <c r="P169" s="592"/>
      <c r="Q169" s="592"/>
      <c r="R169" s="592"/>
      <c r="S169" s="592"/>
      <c r="U169" s="281"/>
      <c r="V169" s="281"/>
      <c r="W169" s="281"/>
      <c r="X169" s="281"/>
      <c r="Y169" s="281"/>
      <c r="Z169" s="281"/>
      <c r="AA169" s="281"/>
      <c r="AB169" s="281"/>
      <c r="AC169" s="281"/>
      <c r="AD169" s="281"/>
      <c r="AE169" s="281"/>
      <c r="AF169" s="281"/>
      <c r="AG169" s="281"/>
      <c r="AH169" s="281"/>
      <c r="AI169" s="281"/>
      <c r="AJ169" s="281"/>
      <c r="AK169" s="281"/>
      <c r="AL169" s="281"/>
      <c r="AM169" s="281"/>
      <c r="AN169" s="281"/>
      <c r="AO169" s="281"/>
      <c r="AP169" s="281"/>
      <c r="AQ169" s="281"/>
      <c r="AR169" s="281"/>
      <c r="AS169" s="281"/>
      <c r="AT169" s="281"/>
      <c r="AU169" s="281"/>
    </row>
    <row r="170" spans="1:47" ht="18" customHeight="1" x14ac:dyDescent="0.35">
      <c r="A170" s="330"/>
      <c r="B170" s="322"/>
      <c r="C170" s="322"/>
      <c r="D170" s="322"/>
      <c r="E170" s="421"/>
      <c r="L170" s="592"/>
      <c r="M170" s="592"/>
      <c r="N170" s="592"/>
      <c r="O170" s="592"/>
      <c r="P170" s="592"/>
      <c r="Q170" s="592"/>
      <c r="R170" s="592"/>
      <c r="S170" s="592"/>
      <c r="U170" s="281"/>
      <c r="V170" s="281"/>
      <c r="W170" s="281"/>
      <c r="X170" s="281"/>
      <c r="Y170" s="281"/>
      <c r="Z170" s="281"/>
      <c r="AA170" s="281"/>
      <c r="AB170" s="281"/>
      <c r="AC170" s="281"/>
      <c r="AD170" s="281"/>
      <c r="AE170" s="281"/>
      <c r="AF170" s="281"/>
      <c r="AG170" s="281"/>
      <c r="AH170" s="281"/>
      <c r="AI170" s="281"/>
      <c r="AJ170" s="281"/>
      <c r="AK170" s="281"/>
      <c r="AL170" s="281"/>
      <c r="AM170" s="281"/>
      <c r="AN170" s="281"/>
      <c r="AO170" s="281"/>
      <c r="AP170" s="281"/>
      <c r="AQ170" s="281"/>
      <c r="AR170" s="281"/>
      <c r="AS170" s="281"/>
      <c r="AT170" s="281"/>
      <c r="AU170" s="281"/>
    </row>
    <row r="171" spans="1:47" ht="18" customHeight="1" x14ac:dyDescent="0.35">
      <c r="A171" s="330"/>
      <c r="B171" s="322"/>
      <c r="C171" s="322"/>
      <c r="D171" s="322"/>
      <c r="E171" s="421"/>
      <c r="L171" s="594"/>
      <c r="M171" s="594"/>
      <c r="N171" s="594"/>
      <c r="O171" s="594"/>
      <c r="P171" s="594"/>
      <c r="Q171" s="594"/>
      <c r="R171" s="594"/>
      <c r="S171" s="594"/>
      <c r="U171" s="281"/>
      <c r="V171" s="281"/>
      <c r="W171" s="281"/>
      <c r="X171" s="281"/>
      <c r="Y171" s="281"/>
      <c r="Z171" s="281"/>
      <c r="AA171" s="281"/>
      <c r="AB171" s="281"/>
      <c r="AC171" s="281"/>
      <c r="AD171" s="281"/>
      <c r="AE171" s="281"/>
      <c r="AF171" s="281"/>
      <c r="AG171" s="281"/>
      <c r="AH171" s="281"/>
      <c r="AI171" s="281"/>
      <c r="AJ171" s="281"/>
      <c r="AK171" s="281"/>
      <c r="AL171" s="281"/>
      <c r="AM171" s="281"/>
      <c r="AN171" s="281"/>
      <c r="AO171" s="281"/>
      <c r="AP171" s="281"/>
      <c r="AQ171" s="281"/>
      <c r="AR171" s="281"/>
      <c r="AS171" s="281"/>
      <c r="AT171" s="281"/>
      <c r="AU171" s="281"/>
    </row>
    <row r="172" spans="1:47" ht="25" customHeight="1" x14ac:dyDescent="0.35">
      <c r="A172" s="330"/>
      <c r="B172" s="322"/>
      <c r="C172" s="322"/>
      <c r="D172" s="322"/>
      <c r="E172" s="322"/>
      <c r="F172" s="427"/>
      <c r="G172" s="428"/>
      <c r="H172" s="428"/>
      <c r="I172" s="428"/>
      <c r="J172" s="428"/>
      <c r="K172" s="428"/>
      <c r="L172" s="595"/>
      <c r="M172" s="595"/>
      <c r="N172" s="595"/>
      <c r="O172" s="595"/>
      <c r="P172" s="595"/>
      <c r="Q172" s="595"/>
      <c r="R172" s="595"/>
      <c r="S172" s="595"/>
      <c r="U172" s="281"/>
      <c r="V172" s="281"/>
      <c r="W172" s="281"/>
      <c r="X172" s="281"/>
      <c r="Y172" s="281"/>
      <c r="Z172" s="281"/>
      <c r="AA172" s="281"/>
      <c r="AB172" s="281"/>
      <c r="AC172" s="281"/>
      <c r="AD172" s="281"/>
      <c r="AE172" s="281"/>
      <c r="AF172" s="281"/>
      <c r="AG172" s="281"/>
      <c r="AH172" s="281"/>
      <c r="AI172" s="281"/>
      <c r="AJ172" s="281"/>
      <c r="AK172" s="281"/>
      <c r="AL172" s="281"/>
      <c r="AM172" s="281"/>
      <c r="AN172" s="281"/>
      <c r="AO172" s="281"/>
      <c r="AP172" s="281"/>
      <c r="AQ172" s="281"/>
      <c r="AR172" s="281"/>
      <c r="AS172" s="281"/>
      <c r="AT172" s="281"/>
      <c r="AU172" s="281"/>
    </row>
    <row r="173" spans="1:47" ht="25" customHeight="1" x14ac:dyDescent="0.35">
      <c r="A173" s="330"/>
      <c r="B173" s="322"/>
      <c r="C173" s="322"/>
      <c r="D173" s="322"/>
      <c r="E173" s="322"/>
      <c r="F173" s="322" t="s">
        <v>114</v>
      </c>
      <c r="G173" s="355">
        <f>N7/(1+$N$8)^G157</f>
        <v>9919.8860650198512</v>
      </c>
      <c r="H173" s="355">
        <f>O7/(1+$N$8)^H157</f>
        <v>8418.5989797959483</v>
      </c>
      <c r="I173" s="355">
        <f>P7/(1+$N$8)^I157</f>
        <v>8224.3347805042686</v>
      </c>
      <c r="J173" s="355">
        <f>Q7/(1+$N$8)^J157</f>
        <v>7629.2345228241502</v>
      </c>
      <c r="K173" s="355">
        <f>R7/(1+$N$8)^K157</f>
        <v>7267.2325683666159</v>
      </c>
      <c r="L173" s="577"/>
      <c r="M173" s="577"/>
      <c r="N173" s="577"/>
      <c r="O173" s="577"/>
      <c r="P173" s="577"/>
      <c r="Q173" s="577"/>
      <c r="R173" s="577"/>
      <c r="S173" s="577"/>
      <c r="T173" s="294">
        <f>K185*(1+G187)/(G186-G187)</f>
        <v>168067.18841392416</v>
      </c>
      <c r="U173" s="281"/>
      <c r="V173" s="281"/>
      <c r="W173" s="281"/>
      <c r="X173" s="281"/>
      <c r="Y173" s="281"/>
      <c r="Z173" s="281"/>
      <c r="AA173" s="281"/>
      <c r="AB173" s="281"/>
      <c r="AC173" s="281"/>
      <c r="AD173" s="281"/>
      <c r="AE173" s="281"/>
      <c r="AF173" s="281"/>
      <c r="AG173" s="281"/>
      <c r="AH173" s="281"/>
      <c r="AI173" s="281"/>
      <c r="AJ173" s="281"/>
      <c r="AK173" s="281"/>
      <c r="AL173" s="281"/>
      <c r="AM173" s="281"/>
      <c r="AN173" s="281"/>
      <c r="AO173" s="281"/>
      <c r="AP173" s="281"/>
      <c r="AQ173" s="281"/>
      <c r="AR173" s="281"/>
      <c r="AS173" s="281"/>
      <c r="AT173" s="281"/>
      <c r="AU173" s="281"/>
    </row>
    <row r="174" spans="1:47" ht="25" customHeight="1" x14ac:dyDescent="0.35">
      <c r="A174" s="330"/>
      <c r="B174" s="322"/>
      <c r="C174" s="322"/>
      <c r="D174" s="322"/>
      <c r="E174" s="322"/>
      <c r="F174" s="322"/>
      <c r="G174" s="355">
        <f>SUM(M18:M18)</f>
        <v>105814.27597491952</v>
      </c>
      <c r="H174" s="330"/>
      <c r="I174" s="330"/>
      <c r="J174" s="355">
        <f>SUM(G173:K173)</f>
        <v>41459.286916510828</v>
      </c>
      <c r="K174" s="330"/>
      <c r="L174" s="572"/>
      <c r="M174" s="572"/>
      <c r="N174" s="572"/>
      <c r="O174" s="572"/>
      <c r="P174" s="572"/>
      <c r="Q174" s="572"/>
      <c r="R174" s="572"/>
      <c r="S174" s="572"/>
      <c r="U174" s="281"/>
      <c r="V174" s="281"/>
      <c r="W174" s="281"/>
      <c r="X174" s="281"/>
      <c r="Y174" s="281"/>
      <c r="Z174" s="281"/>
      <c r="AA174" s="281"/>
      <c r="AB174" s="281"/>
      <c r="AC174" s="281"/>
      <c r="AD174" s="281"/>
      <c r="AE174" s="281"/>
      <c r="AF174" s="281"/>
      <c r="AG174" s="281"/>
      <c r="AH174" s="281"/>
      <c r="AI174" s="281"/>
      <c r="AJ174" s="281"/>
      <c r="AK174" s="281"/>
      <c r="AL174" s="281"/>
      <c r="AM174" s="281"/>
      <c r="AN174" s="281"/>
      <c r="AO174" s="281"/>
      <c r="AP174" s="281"/>
      <c r="AQ174" s="281"/>
      <c r="AR174" s="281"/>
      <c r="AS174" s="281"/>
      <c r="AT174" s="281"/>
      <c r="AU174" s="281"/>
    </row>
    <row r="175" spans="1:47" ht="25" customHeight="1" x14ac:dyDescent="0.35">
      <c r="A175" s="330" t="s">
        <v>108</v>
      </c>
      <c r="B175" s="322"/>
      <c r="C175" s="322"/>
      <c r="D175" s="322"/>
      <c r="E175" s="322"/>
      <c r="F175" s="322"/>
      <c r="G175" s="411">
        <f>N7</f>
        <v>10881.64160831068</v>
      </c>
      <c r="H175" s="411">
        <f>O7</f>
        <v>10130.136338834685</v>
      </c>
      <c r="I175" s="411">
        <f>P7</f>
        <v>10855.853716789277</v>
      </c>
      <c r="J175" s="411">
        <f>Q7</f>
        <v>11046.683253503526</v>
      </c>
      <c r="K175" s="411">
        <f>R7+M17</f>
        <v>179609.89693848079</v>
      </c>
      <c r="L175" s="596"/>
      <c r="M175" s="596"/>
      <c r="N175" s="596"/>
      <c r="O175" s="596"/>
      <c r="P175" s="596"/>
      <c r="Q175" s="596"/>
      <c r="R175" s="596"/>
      <c r="S175" s="596"/>
      <c r="U175" s="281"/>
      <c r="V175" s="410">
        <f>AVERAGE(U176:U180)</f>
        <v>6.4240000000000013</v>
      </c>
      <c r="W175" s="281"/>
      <c r="X175" s="281"/>
      <c r="Y175" s="281"/>
      <c r="Z175" s="281"/>
      <c r="AA175" s="281"/>
      <c r="AB175" s="281"/>
      <c r="AC175" s="281"/>
      <c r="AD175" s="281"/>
      <c r="AE175" s="281"/>
      <c r="AF175" s="281"/>
      <c r="AG175" s="281"/>
      <c r="AH175" s="281"/>
      <c r="AI175" s="281"/>
      <c r="AJ175" s="281"/>
      <c r="AK175" s="281"/>
      <c r="AL175" s="281"/>
      <c r="AM175" s="281"/>
      <c r="AN175" s="281"/>
      <c r="AO175" s="281"/>
      <c r="AP175" s="281"/>
      <c r="AQ175" s="281"/>
      <c r="AR175" s="281"/>
      <c r="AS175" s="281"/>
      <c r="AT175" s="281"/>
      <c r="AU175" s="281"/>
    </row>
    <row r="176" spans="1:47" ht="25" customHeight="1" x14ac:dyDescent="0.35">
      <c r="A176" s="330"/>
      <c r="B176" s="322"/>
      <c r="C176" s="322"/>
      <c r="D176" s="322"/>
      <c r="E176" s="322"/>
      <c r="F176" s="322" t="s">
        <v>115</v>
      </c>
      <c r="G176" s="414">
        <f>NPV(N8,G175:K175)</f>
        <v>147273.56289143034</v>
      </c>
      <c r="H176" s="330"/>
      <c r="I176" s="330"/>
      <c r="J176" s="330"/>
      <c r="K176" s="330"/>
      <c r="L176" s="572"/>
      <c r="M176" s="572"/>
      <c r="N176" s="572"/>
      <c r="O176" s="572"/>
      <c r="P176" s="572"/>
      <c r="Q176" s="572"/>
      <c r="R176" s="572"/>
      <c r="S176" s="572"/>
      <c r="T176" s="319">
        <f>T173/(1+G187)^K184</f>
        <v>147496.22621574131</v>
      </c>
      <c r="U176" s="409">
        <v>5.7</v>
      </c>
      <c r="V176" s="281">
        <f>V175*V177</f>
        <v>2.6456159660860665</v>
      </c>
      <c r="W176" s="281"/>
      <c r="X176" s="281"/>
      <c r="Y176" s="281"/>
      <c r="Z176" s="281"/>
      <c r="AA176" s="281"/>
      <c r="AB176" s="281"/>
      <c r="AC176" s="281"/>
      <c r="AD176" s="281"/>
      <c r="AE176" s="281"/>
      <c r="AF176" s="281"/>
      <c r="AG176" s="281"/>
      <c r="AH176" s="281"/>
      <c r="AI176" s="281"/>
      <c r="AJ176" s="281"/>
      <c r="AK176" s="281"/>
      <c r="AL176" s="281"/>
      <c r="AM176" s="281"/>
      <c r="AN176" s="281"/>
      <c r="AO176" s="281"/>
      <c r="AP176" s="281"/>
      <c r="AQ176" s="281"/>
      <c r="AR176" s="281"/>
      <c r="AS176" s="281"/>
      <c r="AT176" s="281"/>
      <c r="AU176" s="281"/>
    </row>
    <row r="177" spans="1:47" ht="25" customHeight="1" x14ac:dyDescent="0.35">
      <c r="A177" s="330"/>
      <c r="B177" s="322"/>
      <c r="C177" s="322"/>
      <c r="D177" s="322"/>
      <c r="E177" s="322"/>
      <c r="F177" s="322" t="s">
        <v>116</v>
      </c>
      <c r="G177" s="330">
        <v>2.09</v>
      </c>
      <c r="H177" s="330"/>
      <c r="I177" s="330"/>
      <c r="J177" s="330"/>
      <c r="K177" s="330"/>
      <c r="L177" s="572"/>
      <c r="M177" s="572"/>
      <c r="N177" s="572"/>
      <c r="O177" s="572"/>
      <c r="P177" s="572"/>
      <c r="Q177" s="572"/>
      <c r="R177" s="572"/>
      <c r="S177" s="572"/>
      <c r="T177" s="289" t="s">
        <v>111</v>
      </c>
      <c r="U177" s="409">
        <v>5.8</v>
      </c>
      <c r="V177" s="281">
        <v>0.41183312049907628</v>
      </c>
      <c r="W177" s="281"/>
      <c r="X177" s="281"/>
      <c r="Y177" s="281"/>
      <c r="Z177" s="281"/>
      <c r="AA177" s="281"/>
      <c r="AB177" s="281"/>
      <c r="AC177" s="281"/>
      <c r="AD177" s="281"/>
      <c r="AE177" s="281"/>
      <c r="AF177" s="281"/>
      <c r="AG177" s="281"/>
      <c r="AH177" s="281"/>
      <c r="AI177" s="281"/>
      <c r="AJ177" s="281"/>
      <c r="AK177" s="281"/>
      <c r="AL177" s="281"/>
      <c r="AM177" s="281"/>
      <c r="AN177" s="281"/>
      <c r="AO177" s="281"/>
      <c r="AP177" s="281"/>
      <c r="AQ177" s="281"/>
      <c r="AR177" s="281"/>
      <c r="AS177" s="281"/>
      <c r="AT177" s="281"/>
      <c r="AU177" s="281"/>
    </row>
    <row r="178" spans="1:47" ht="25" customHeight="1" x14ac:dyDescent="0.35">
      <c r="A178" s="330"/>
      <c r="B178" s="322"/>
      <c r="C178" s="322"/>
      <c r="D178" s="322"/>
      <c r="E178" s="322"/>
      <c r="F178" s="322" t="s">
        <v>117</v>
      </c>
      <c r="G178" s="355">
        <f>G176/G177</f>
        <v>70465.819565277678</v>
      </c>
      <c r="H178" s="330"/>
      <c r="I178" s="330"/>
      <c r="J178" s="330"/>
      <c r="K178" s="330"/>
      <c r="L178" s="572"/>
      <c r="M178" s="572"/>
      <c r="N178" s="572"/>
      <c r="O178" s="572"/>
      <c r="P178" s="572"/>
      <c r="Q178" s="572"/>
      <c r="R178" s="572"/>
      <c r="S178" s="572"/>
      <c r="T178" s="319"/>
      <c r="U178" s="409">
        <v>6.94</v>
      </c>
      <c r="V178" s="281"/>
      <c r="W178" s="281"/>
      <c r="X178" s="281"/>
      <c r="Y178" s="281"/>
      <c r="Z178" s="281"/>
      <c r="AA178" s="281"/>
      <c r="AB178" s="281"/>
      <c r="AC178" s="281"/>
      <c r="AD178" s="281"/>
      <c r="AE178" s="281"/>
      <c r="AF178" s="281"/>
      <c r="AG178" s="281"/>
      <c r="AH178" s="281"/>
      <c r="AI178" s="281"/>
      <c r="AJ178" s="281"/>
      <c r="AK178" s="281"/>
      <c r="AL178" s="281"/>
      <c r="AM178" s="281"/>
      <c r="AN178" s="281"/>
      <c r="AO178" s="281"/>
      <c r="AP178" s="281"/>
      <c r="AQ178" s="281"/>
      <c r="AR178" s="281"/>
      <c r="AS178" s="281"/>
      <c r="AT178" s="281"/>
      <c r="AU178" s="281"/>
    </row>
    <row r="179" spans="1:47" ht="25" customHeight="1" x14ac:dyDescent="0.35">
      <c r="A179" s="330"/>
      <c r="B179" s="322"/>
      <c r="C179" s="322"/>
      <c r="D179" s="322"/>
      <c r="E179" s="322"/>
      <c r="F179" s="322"/>
      <c r="G179" s="330"/>
      <c r="H179" s="330"/>
      <c r="I179" s="330"/>
      <c r="J179" s="330"/>
      <c r="K179" s="330"/>
      <c r="L179" s="572"/>
      <c r="M179" s="572"/>
      <c r="N179" s="572"/>
      <c r="O179" s="572"/>
      <c r="P179" s="572"/>
      <c r="Q179" s="572"/>
      <c r="R179" s="572"/>
      <c r="S179" s="572"/>
      <c r="U179" s="409">
        <v>6.84</v>
      </c>
      <c r="V179" s="281"/>
      <c r="W179" s="281"/>
      <c r="X179" s="281"/>
      <c r="Y179" s="281"/>
      <c r="Z179" s="281"/>
      <c r="AA179" s="281"/>
      <c r="AB179" s="281"/>
      <c r="AC179" s="281"/>
      <c r="AD179" s="281"/>
      <c r="AE179" s="281"/>
      <c r="AF179" s="281"/>
      <c r="AG179" s="281"/>
      <c r="AH179" s="281"/>
      <c r="AI179" s="281"/>
      <c r="AJ179" s="281"/>
      <c r="AK179" s="281"/>
      <c r="AL179" s="281"/>
      <c r="AM179" s="281"/>
      <c r="AN179" s="281"/>
      <c r="AO179" s="281"/>
      <c r="AP179" s="281"/>
      <c r="AQ179" s="281"/>
      <c r="AR179" s="281"/>
      <c r="AS179" s="281"/>
      <c r="AT179" s="281"/>
      <c r="AU179" s="281"/>
    </row>
    <row r="180" spans="1:47" ht="25" customHeight="1" x14ac:dyDescent="0.35">
      <c r="A180" s="330"/>
      <c r="B180" s="322"/>
      <c r="C180" s="322"/>
      <c r="D180" s="322"/>
      <c r="E180" s="322"/>
      <c r="F180" s="322"/>
      <c r="G180" s="330"/>
      <c r="H180" s="330"/>
      <c r="I180" s="330"/>
      <c r="J180" s="330"/>
      <c r="K180" s="330"/>
      <c r="L180" s="572"/>
      <c r="M180" s="572"/>
      <c r="N180" s="572"/>
      <c r="O180" s="572"/>
      <c r="P180" s="572"/>
      <c r="Q180" s="572"/>
      <c r="R180" s="572"/>
      <c r="S180" s="572"/>
      <c r="U180" s="409">
        <v>6.84</v>
      </c>
      <c r="V180" s="281"/>
      <c r="W180" s="281"/>
      <c r="X180" s="281"/>
      <c r="Y180" s="281"/>
      <c r="Z180" s="281"/>
      <c r="AA180" s="281"/>
      <c r="AB180" s="281"/>
      <c r="AC180" s="281"/>
      <c r="AD180" s="281"/>
      <c r="AE180" s="281"/>
      <c r="AF180" s="281"/>
      <c r="AG180" s="281"/>
      <c r="AH180" s="281"/>
      <c r="AI180" s="281"/>
      <c r="AJ180" s="281"/>
      <c r="AK180" s="281"/>
      <c r="AL180" s="281"/>
      <c r="AM180" s="281"/>
      <c r="AN180" s="281"/>
      <c r="AO180" s="281"/>
      <c r="AP180" s="281"/>
      <c r="AQ180" s="281"/>
      <c r="AR180" s="281"/>
      <c r="AS180" s="281"/>
      <c r="AT180" s="281"/>
      <c r="AU180" s="281"/>
    </row>
    <row r="181" spans="1:47" ht="25" customHeight="1" x14ac:dyDescent="0.35">
      <c r="A181" s="330"/>
      <c r="B181" s="322"/>
      <c r="C181" s="322"/>
      <c r="D181" s="322"/>
      <c r="E181" s="322"/>
      <c r="F181" s="322"/>
      <c r="G181" s="330"/>
      <c r="H181" s="330"/>
      <c r="I181" s="330"/>
      <c r="J181" s="330"/>
      <c r="K181" s="330"/>
      <c r="L181" s="572"/>
      <c r="M181" s="572"/>
      <c r="N181" s="572"/>
      <c r="O181" s="572"/>
      <c r="P181" s="572"/>
      <c r="Q181" s="572"/>
      <c r="R181" s="572"/>
      <c r="S181" s="572"/>
      <c r="U181" s="281"/>
      <c r="V181" s="281"/>
      <c r="W181" s="281"/>
      <c r="X181" s="281"/>
      <c r="Y181" s="281"/>
      <c r="Z181" s="281"/>
      <c r="AA181" s="281"/>
      <c r="AB181" s="281"/>
      <c r="AC181" s="281"/>
      <c r="AD181" s="281"/>
      <c r="AE181" s="281"/>
      <c r="AF181" s="281"/>
      <c r="AG181" s="281"/>
      <c r="AH181" s="281"/>
      <c r="AI181" s="281"/>
      <c r="AJ181" s="281"/>
      <c r="AK181" s="281"/>
      <c r="AL181" s="281"/>
      <c r="AM181" s="281"/>
      <c r="AN181" s="281"/>
      <c r="AO181" s="281"/>
      <c r="AP181" s="281"/>
      <c r="AQ181" s="281"/>
      <c r="AR181" s="281"/>
      <c r="AS181" s="281"/>
      <c r="AT181" s="281"/>
      <c r="AU181" s="281"/>
    </row>
    <row r="182" spans="1:47" ht="25" customHeight="1" thickBot="1" x14ac:dyDescent="0.4">
      <c r="A182" s="330"/>
      <c r="B182" s="330"/>
      <c r="C182" s="330"/>
      <c r="D182" s="330"/>
      <c r="E182" s="330"/>
      <c r="F182" s="322"/>
      <c r="G182" s="330"/>
      <c r="H182" s="330"/>
      <c r="I182" s="330"/>
      <c r="J182" s="330"/>
      <c r="K182" s="330"/>
      <c r="L182" s="572"/>
      <c r="M182" s="572"/>
      <c r="N182" s="572"/>
      <c r="O182" s="572"/>
      <c r="P182" s="572"/>
      <c r="Q182" s="572"/>
      <c r="R182" s="572"/>
      <c r="S182" s="572"/>
      <c r="U182" s="281"/>
      <c r="V182" s="281"/>
      <c r="W182" s="281"/>
      <c r="X182" s="281"/>
      <c r="Y182" s="281"/>
      <c r="Z182" s="281"/>
      <c r="AA182" s="281"/>
      <c r="AB182" s="281"/>
      <c r="AC182" s="281"/>
      <c r="AD182" s="281"/>
      <c r="AE182" s="281"/>
      <c r="AF182" s="281"/>
      <c r="AG182" s="281"/>
      <c r="AH182" s="281"/>
      <c r="AI182" s="281"/>
      <c r="AJ182" s="281"/>
      <c r="AK182" s="281"/>
      <c r="AL182" s="281"/>
      <c r="AM182" s="281"/>
      <c r="AN182" s="281"/>
      <c r="AO182" s="281"/>
      <c r="AP182" s="281"/>
      <c r="AQ182" s="281"/>
      <c r="AR182" s="281"/>
      <c r="AS182" s="281"/>
      <c r="AT182" s="281"/>
      <c r="AU182" s="281"/>
    </row>
    <row r="183" spans="1:47" ht="25" customHeight="1" x14ac:dyDescent="0.35">
      <c r="A183" s="263" t="s">
        <v>80</v>
      </c>
      <c r="B183" s="262">
        <v>3368754</v>
      </c>
      <c r="C183" s="262">
        <v>3457704</v>
      </c>
      <c r="D183" s="262">
        <v>4157129</v>
      </c>
      <c r="E183" s="262">
        <v>4355509</v>
      </c>
      <c r="F183" s="322"/>
      <c r="G183" s="330"/>
      <c r="H183" s="330"/>
      <c r="I183" s="330"/>
      <c r="J183" s="330"/>
      <c r="K183" s="330"/>
      <c r="L183" s="572"/>
      <c r="M183" s="572"/>
      <c r="N183" s="572"/>
      <c r="O183" s="572"/>
      <c r="P183" s="572"/>
      <c r="Q183" s="572"/>
      <c r="R183" s="572"/>
      <c r="S183" s="572"/>
      <c r="U183" s="281"/>
      <c r="V183" s="281"/>
      <c r="W183" s="281"/>
      <c r="X183" s="281"/>
      <c r="Y183" s="281"/>
      <c r="Z183" s="281"/>
      <c r="AA183" s="281"/>
      <c r="AB183" s="281"/>
      <c r="AC183" s="281"/>
      <c r="AD183" s="281"/>
      <c r="AE183" s="281"/>
      <c r="AF183" s="281"/>
      <c r="AG183" s="281"/>
      <c r="AH183" s="281"/>
      <c r="AI183" s="281"/>
      <c r="AJ183" s="281"/>
      <c r="AK183" s="281"/>
      <c r="AL183" s="281"/>
      <c r="AM183" s="281"/>
      <c r="AN183" s="281"/>
      <c r="AO183" s="281"/>
      <c r="AP183" s="281"/>
      <c r="AQ183" s="281"/>
      <c r="AR183" s="281"/>
      <c r="AS183" s="281"/>
      <c r="AT183" s="281"/>
      <c r="AU183" s="281"/>
    </row>
    <row r="184" spans="1:47" ht="25" customHeight="1" x14ac:dyDescent="0.35">
      <c r="A184" s="330"/>
      <c r="B184" s="355">
        <f>B183/B3</f>
        <v>64.091115341040435</v>
      </c>
      <c r="C184" s="331"/>
      <c r="D184" s="331"/>
      <c r="E184" s="331"/>
      <c r="F184" s="322"/>
      <c r="G184" s="330">
        <v>1</v>
      </c>
      <c r="H184" s="330">
        <v>2</v>
      </c>
      <c r="I184" s="330">
        <v>3</v>
      </c>
      <c r="J184" s="330">
        <v>4</v>
      </c>
      <c r="K184" s="330">
        <v>5</v>
      </c>
      <c r="L184" s="572"/>
      <c r="M184" s="572"/>
      <c r="N184" s="572"/>
      <c r="O184" s="572"/>
      <c r="P184" s="572"/>
      <c r="Q184" s="572"/>
      <c r="R184" s="572"/>
      <c r="S184" s="572"/>
      <c r="U184" s="281"/>
      <c r="V184" s="281"/>
      <c r="W184" s="281"/>
      <c r="X184" s="281"/>
      <c r="Y184" s="281"/>
      <c r="Z184" s="281"/>
      <c r="AA184" s="281"/>
      <c r="AB184" s="281"/>
      <c r="AC184" s="281"/>
      <c r="AD184" s="281"/>
      <c r="AE184" s="281"/>
      <c r="AF184" s="281"/>
      <c r="AG184" s="281"/>
      <c r="AH184" s="281"/>
      <c r="AI184" s="281"/>
      <c r="AJ184" s="281"/>
      <c r="AK184" s="281"/>
      <c r="AL184" s="281"/>
      <c r="AM184" s="281"/>
      <c r="AN184" s="281"/>
      <c r="AO184" s="281"/>
      <c r="AP184" s="281"/>
      <c r="AQ184" s="281"/>
      <c r="AR184" s="281"/>
      <c r="AS184" s="281"/>
      <c r="AT184" s="281"/>
      <c r="AU184" s="281"/>
    </row>
    <row r="185" spans="1:47" ht="25" customHeight="1" thickBot="1" x14ac:dyDescent="0.4">
      <c r="A185" s="330"/>
      <c r="B185" s="330"/>
      <c r="C185" s="331"/>
      <c r="D185" s="331"/>
      <c r="E185" s="331"/>
      <c r="F185" s="322" t="s">
        <v>118</v>
      </c>
      <c r="G185" s="336">
        <f>SUM(G126,G100,G97,G89,AC6,CAPEX!L29)</f>
        <v>10881.64160831068</v>
      </c>
      <c r="H185" s="406">
        <f>SUM(H126,H100,H97,H89,AD6,CAPEX!M29)</f>
        <v>10130.136338834685</v>
      </c>
      <c r="I185" s="406">
        <f>SUM(I126,I100,I97,I89,AE6,CAPEX!N29)</f>
        <v>10855.853716789277</v>
      </c>
      <c r="J185" s="406">
        <f>SUM(J126,J100,J97,J89,AF6,CAPEX!O29)</f>
        <v>11046.683253503526</v>
      </c>
      <c r="K185" s="406">
        <f>SUM(K126,K100,K97,K89,AG6,CAPEX!P29)</f>
        <v>11542.708524556512</v>
      </c>
      <c r="L185" s="595"/>
      <c r="M185" s="595"/>
      <c r="N185" s="595"/>
      <c r="O185" s="595"/>
      <c r="P185" s="595"/>
      <c r="Q185" s="595"/>
      <c r="R185" s="595"/>
      <c r="S185" s="595"/>
      <c r="U185" s="281"/>
      <c r="V185" s="281"/>
      <c r="W185" s="281"/>
      <c r="X185" s="281"/>
      <c r="Y185" s="281"/>
      <c r="Z185" s="281"/>
      <c r="AA185" s="281"/>
      <c r="AB185" s="281"/>
      <c r="AC185" s="281"/>
      <c r="AD185" s="281"/>
      <c r="AE185" s="281"/>
      <c r="AF185" s="281"/>
      <c r="AG185" s="281"/>
      <c r="AH185" s="281"/>
      <c r="AI185" s="281"/>
      <c r="AJ185" s="281"/>
      <c r="AK185" s="281"/>
      <c r="AL185" s="281"/>
      <c r="AM185" s="281"/>
      <c r="AN185" s="281"/>
      <c r="AO185" s="281"/>
      <c r="AP185" s="281"/>
      <c r="AQ185" s="281"/>
      <c r="AR185" s="281"/>
      <c r="AS185" s="281"/>
      <c r="AT185" s="281"/>
      <c r="AU185" s="281"/>
    </row>
    <row r="186" spans="1:47" ht="25" customHeight="1" x14ac:dyDescent="0.35">
      <c r="A186" s="164" t="s">
        <v>81</v>
      </c>
      <c r="B186" s="146">
        <v>5525846</v>
      </c>
      <c r="C186" s="146">
        <v>4983044</v>
      </c>
      <c r="D186" s="146">
        <v>4905069</v>
      </c>
      <c r="E186" s="146">
        <v>6773072</v>
      </c>
      <c r="F186" s="322" t="s">
        <v>119</v>
      </c>
      <c r="G186" s="332">
        <f>CAPM!M5</f>
        <v>9.6952277172036666E-2</v>
      </c>
      <c r="H186" s="330"/>
      <c r="I186" s="330"/>
      <c r="J186" s="330"/>
      <c r="U186" s="281"/>
      <c r="V186" s="281"/>
      <c r="W186" s="281"/>
      <c r="X186" s="281"/>
      <c r="Y186" s="281"/>
      <c r="Z186" s="281"/>
      <c r="AA186" s="281"/>
      <c r="AB186" s="281"/>
      <c r="AC186" s="281"/>
      <c r="AD186" s="281"/>
      <c r="AE186" s="281"/>
      <c r="AF186" s="281"/>
      <c r="AG186" s="281"/>
      <c r="AH186" s="281"/>
      <c r="AI186" s="281"/>
      <c r="AJ186" s="281"/>
      <c r="AK186" s="281"/>
      <c r="AL186" s="281"/>
      <c r="AM186" s="281"/>
      <c r="AN186" s="281"/>
      <c r="AO186" s="281"/>
      <c r="AP186" s="281"/>
      <c r="AQ186" s="281"/>
      <c r="AR186" s="281"/>
      <c r="AS186" s="281"/>
      <c r="AT186" s="281"/>
      <c r="AU186" s="281"/>
    </row>
    <row r="187" spans="1:47" ht="25" customHeight="1" x14ac:dyDescent="0.35">
      <c r="A187" s="397"/>
      <c r="B187" s="398"/>
      <c r="C187" s="398"/>
      <c r="D187" s="398"/>
      <c r="E187" s="398"/>
      <c r="F187" s="322" t="s">
        <v>120</v>
      </c>
      <c r="G187" s="334">
        <f>V176/100</f>
        <v>2.6456159660860665E-2</v>
      </c>
      <c r="H187" s="330"/>
      <c r="I187" s="330"/>
      <c r="J187" s="330"/>
      <c r="K187" s="330"/>
      <c r="L187" s="572"/>
      <c r="M187" s="572"/>
      <c r="N187" s="572"/>
      <c r="O187" s="572"/>
      <c r="P187" s="572"/>
      <c r="Q187" s="572"/>
      <c r="R187" s="572"/>
      <c r="S187" s="572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</row>
    <row r="188" spans="1:47" ht="25" customHeight="1" thickBot="1" x14ac:dyDescent="0.4">
      <c r="A188" s="397"/>
      <c r="B188" s="398"/>
      <c r="C188" s="398"/>
      <c r="D188" s="398"/>
      <c r="E188" s="398"/>
      <c r="F188" s="322" t="s">
        <v>121</v>
      </c>
      <c r="G188" s="336"/>
      <c r="H188" s="336">
        <f>H185/(1+$G$187)^H184</f>
        <v>9614.672153720132</v>
      </c>
      <c r="I188" s="336">
        <f>I185/(1+$G$187)^I184</f>
        <v>10037.897736682315</v>
      </c>
      <c r="J188" s="336">
        <f>J185/(1+$G$187)^J184</f>
        <v>9951.0814414071174</v>
      </c>
      <c r="K188" s="336">
        <f>K185/(1+$G$187)^K184</f>
        <v>10129.912707811458</v>
      </c>
      <c r="L188" s="597"/>
      <c r="M188" s="597"/>
      <c r="N188" s="597"/>
      <c r="O188" s="597"/>
      <c r="P188" s="597"/>
      <c r="Q188" s="597"/>
      <c r="R188" s="597"/>
      <c r="S188" s="597"/>
      <c r="U188" s="281"/>
      <c r="V188" s="281"/>
      <c r="W188" s="281"/>
      <c r="X188" s="281"/>
      <c r="Y188" s="281"/>
      <c r="Z188" s="281"/>
      <c r="AA188" s="281"/>
      <c r="AB188" s="281"/>
      <c r="AC188" s="281"/>
      <c r="AD188" s="281"/>
      <c r="AE188" s="281"/>
      <c r="AF188" s="281"/>
      <c r="AG188" s="281"/>
      <c r="AH188" s="281"/>
      <c r="AI188" s="281"/>
      <c r="AJ188" s="281"/>
      <c r="AK188" s="281"/>
      <c r="AL188" s="281"/>
      <c r="AM188" s="281"/>
      <c r="AN188" s="281"/>
      <c r="AO188" s="281"/>
      <c r="AP188" s="281"/>
      <c r="AQ188" s="281"/>
      <c r="AR188" s="281"/>
      <c r="AS188" s="281"/>
      <c r="AT188" s="281"/>
      <c r="AU188" s="281"/>
    </row>
    <row r="189" spans="1:47" ht="25" customHeight="1" x14ac:dyDescent="0.35">
      <c r="A189" s="181" t="s">
        <v>82</v>
      </c>
      <c r="B189" s="150">
        <v>3991065</v>
      </c>
      <c r="C189" s="150">
        <v>3648446</v>
      </c>
      <c r="D189" s="150">
        <v>3199186</v>
      </c>
      <c r="E189" s="150">
        <v>4213888</v>
      </c>
      <c r="F189" s="322" t="s">
        <v>122</v>
      </c>
      <c r="G189" s="336">
        <f>SUM(G178:T178)</f>
        <v>70465.819565277678</v>
      </c>
      <c r="H189" s="330"/>
      <c r="I189" s="330"/>
      <c r="J189" s="330"/>
      <c r="K189" s="330"/>
      <c r="L189" s="572"/>
      <c r="M189" s="572"/>
      <c r="N189" s="572"/>
      <c r="O189" s="572"/>
      <c r="P189" s="572"/>
      <c r="Q189" s="572"/>
      <c r="R189" s="572"/>
      <c r="S189" s="572"/>
      <c r="U189" s="281"/>
      <c r="V189" s="281"/>
      <c r="W189" s="281"/>
      <c r="X189" s="281"/>
      <c r="Y189" s="281"/>
      <c r="Z189" s="281"/>
      <c r="AA189" s="281"/>
      <c r="AB189" s="281"/>
      <c r="AC189" s="281"/>
      <c r="AD189" s="281"/>
      <c r="AE189" s="281"/>
      <c r="AF189" s="281"/>
      <c r="AG189" s="281"/>
      <c r="AH189" s="281"/>
      <c r="AI189" s="281"/>
      <c r="AJ189" s="281"/>
      <c r="AK189" s="281"/>
      <c r="AL189" s="281"/>
      <c r="AM189" s="281"/>
      <c r="AN189" s="281"/>
      <c r="AO189" s="281"/>
      <c r="AP189" s="281"/>
      <c r="AQ189" s="281"/>
      <c r="AR189" s="281"/>
      <c r="AS189" s="281"/>
      <c r="AT189" s="281"/>
      <c r="AU189" s="281"/>
    </row>
    <row r="190" spans="1:47" ht="25" customHeight="1" x14ac:dyDescent="0.35">
      <c r="A190" s="397"/>
      <c r="B190" s="398"/>
      <c r="C190" s="398"/>
      <c r="D190" s="398"/>
      <c r="E190" s="398"/>
      <c r="F190" s="322" t="s">
        <v>123</v>
      </c>
      <c r="G190" s="330">
        <v>2.09</v>
      </c>
      <c r="H190" s="330"/>
      <c r="I190" s="330"/>
      <c r="J190" s="330"/>
      <c r="K190" s="330"/>
      <c r="L190" s="572"/>
      <c r="M190" s="572"/>
      <c r="N190" s="572"/>
      <c r="O190" s="572"/>
      <c r="P190" s="572"/>
      <c r="Q190" s="572"/>
      <c r="R190" s="572"/>
      <c r="S190" s="572"/>
      <c r="U190" s="281"/>
      <c r="V190" s="281"/>
      <c r="W190" s="281"/>
      <c r="X190" s="281"/>
      <c r="Y190" s="281"/>
      <c r="Z190" s="281"/>
      <c r="AA190" s="281"/>
      <c r="AB190" s="281"/>
      <c r="AC190" s="281"/>
      <c r="AD190" s="281"/>
      <c r="AE190" s="281"/>
      <c r="AF190" s="281"/>
      <c r="AG190" s="281"/>
      <c r="AH190" s="281"/>
      <c r="AI190" s="281"/>
      <c r="AJ190" s="281"/>
      <c r="AK190" s="281"/>
      <c r="AL190" s="281"/>
      <c r="AM190" s="281"/>
      <c r="AN190" s="281"/>
      <c r="AO190" s="281"/>
      <c r="AP190" s="281"/>
      <c r="AQ190" s="281"/>
      <c r="AR190" s="281"/>
      <c r="AS190" s="281"/>
      <c r="AT190" s="281"/>
      <c r="AU190" s="281"/>
    </row>
    <row r="191" spans="1:47" ht="25" customHeight="1" thickBot="1" x14ac:dyDescent="0.4">
      <c r="A191" s="330"/>
      <c r="B191" s="330"/>
      <c r="C191" s="331"/>
      <c r="D191" s="331"/>
      <c r="E191" s="331"/>
      <c r="F191" s="330" t="s">
        <v>124</v>
      </c>
      <c r="G191" s="355">
        <f>G189/G190</f>
        <v>33715.703141281185</v>
      </c>
      <c r="H191" s="330"/>
      <c r="I191" s="330"/>
      <c r="J191" s="330"/>
      <c r="K191" s="330"/>
      <c r="L191" s="572"/>
      <c r="M191" s="572"/>
      <c r="N191" s="572"/>
      <c r="O191" s="572"/>
      <c r="P191" s="572"/>
      <c r="Q191" s="572"/>
      <c r="R191" s="572"/>
      <c r="S191" s="572"/>
      <c r="U191" s="281"/>
      <c r="V191" s="281"/>
      <c r="W191" s="281"/>
      <c r="X191" s="281"/>
      <c r="Y191" s="281"/>
      <c r="Z191" s="281"/>
      <c r="AA191" s="281"/>
      <c r="AB191" s="281"/>
      <c r="AC191" s="281"/>
      <c r="AD191" s="281"/>
      <c r="AE191" s="281"/>
      <c r="AF191" s="281"/>
      <c r="AG191" s="281"/>
      <c r="AH191" s="281"/>
      <c r="AI191" s="281"/>
      <c r="AJ191" s="281"/>
      <c r="AK191" s="281"/>
      <c r="AL191" s="281"/>
      <c r="AM191" s="281"/>
      <c r="AN191" s="281"/>
      <c r="AO191" s="281"/>
      <c r="AP191" s="281"/>
      <c r="AQ191" s="281"/>
      <c r="AR191" s="281"/>
      <c r="AS191" s="281"/>
      <c r="AT191" s="281"/>
      <c r="AU191" s="281"/>
    </row>
    <row r="192" spans="1:47" ht="25" customHeight="1" thickBot="1" x14ac:dyDescent="0.4">
      <c r="A192" s="164" t="s">
        <v>125</v>
      </c>
      <c r="B192" s="146">
        <v>-2150</v>
      </c>
      <c r="C192" s="146">
        <v>-2818</v>
      </c>
      <c r="D192" s="262">
        <v>-2309</v>
      </c>
      <c r="E192" s="146">
        <v>-3474</v>
      </c>
      <c r="F192" s="262">
        <v>4620497</v>
      </c>
      <c r="G192" s="330"/>
      <c r="H192" s="330"/>
      <c r="I192" s="330"/>
      <c r="J192" s="330"/>
      <c r="K192" s="330"/>
      <c r="L192" s="572"/>
      <c r="M192" s="572"/>
      <c r="N192" s="572"/>
      <c r="O192" s="572"/>
      <c r="P192" s="572"/>
      <c r="Q192" s="572"/>
      <c r="R192" s="572"/>
      <c r="S192" s="572"/>
      <c r="U192" s="281"/>
      <c r="V192" s="281"/>
      <c r="W192" s="281"/>
      <c r="X192" s="281"/>
      <c r="Y192" s="281"/>
      <c r="Z192" s="281"/>
      <c r="AA192" s="281"/>
      <c r="AB192" s="281"/>
      <c r="AC192" s="281"/>
      <c r="AD192" s="281"/>
      <c r="AE192" s="281"/>
      <c r="AF192" s="281"/>
      <c r="AG192" s="281"/>
      <c r="AH192" s="281"/>
      <c r="AI192" s="281"/>
      <c r="AJ192" s="281"/>
      <c r="AK192" s="281"/>
      <c r="AL192" s="281"/>
      <c r="AM192" s="281"/>
      <c r="AN192" s="281"/>
      <c r="AO192" s="281"/>
      <c r="AP192" s="281"/>
      <c r="AQ192" s="281"/>
      <c r="AR192" s="281"/>
      <c r="AS192" s="281"/>
      <c r="AT192" s="281"/>
      <c r="AU192" s="281"/>
    </row>
    <row r="193" spans="1:47" ht="25" customHeight="1" thickBot="1" x14ac:dyDescent="0.4">
      <c r="A193" s="318" t="s">
        <v>126</v>
      </c>
      <c r="B193" s="148">
        <v>-38</v>
      </c>
      <c r="C193" s="148">
        <v>-88</v>
      </c>
      <c r="D193" s="262">
        <v>166</v>
      </c>
      <c r="E193" s="148">
        <v>-183</v>
      </c>
      <c r="F193" s="331"/>
      <c r="G193" s="330"/>
      <c r="H193" s="330"/>
      <c r="I193" s="330"/>
      <c r="J193" s="330"/>
      <c r="K193" s="330"/>
      <c r="L193" s="572"/>
      <c r="M193" s="572"/>
      <c r="N193" s="572"/>
      <c r="O193" s="572"/>
      <c r="P193" s="572"/>
      <c r="Q193" s="572"/>
      <c r="R193" s="572"/>
      <c r="S193" s="572"/>
      <c r="U193" s="281"/>
      <c r="V193" s="281"/>
      <c r="W193" s="281"/>
      <c r="X193" s="281"/>
      <c r="Y193" s="281"/>
      <c r="Z193" s="281"/>
      <c r="AA193" s="281"/>
      <c r="AB193" s="281"/>
      <c r="AC193" s="281"/>
      <c r="AD193" s="281"/>
      <c r="AE193" s="281"/>
      <c r="AF193" s="281"/>
      <c r="AG193" s="281"/>
      <c r="AH193" s="281"/>
      <c r="AI193" s="281"/>
      <c r="AJ193" s="281"/>
      <c r="AK193" s="281"/>
      <c r="AL193" s="281"/>
      <c r="AM193" s="281"/>
      <c r="AN193" s="281"/>
      <c r="AO193" s="281"/>
      <c r="AP193" s="281"/>
      <c r="AQ193" s="281"/>
      <c r="AR193" s="281"/>
      <c r="AS193" s="281"/>
      <c r="AT193" s="281"/>
      <c r="AU193" s="281"/>
    </row>
    <row r="194" spans="1:47" ht="25" customHeight="1" thickBot="1" x14ac:dyDescent="0.4">
      <c r="A194" s="318" t="s">
        <v>127</v>
      </c>
      <c r="B194" s="148">
        <v>259</v>
      </c>
      <c r="C194" s="148">
        <v>-545</v>
      </c>
      <c r="D194" s="262">
        <v>-499</v>
      </c>
      <c r="E194" s="148">
        <v>-1037</v>
      </c>
      <c r="F194" s="331"/>
      <c r="G194" s="330"/>
      <c r="H194" s="330"/>
      <c r="I194" s="330"/>
      <c r="J194" s="330"/>
      <c r="K194" s="330"/>
      <c r="L194" s="572"/>
      <c r="M194" s="572"/>
      <c r="N194" s="572"/>
      <c r="O194" s="572"/>
      <c r="P194" s="572"/>
      <c r="Q194" s="572"/>
      <c r="R194" s="572"/>
      <c r="S194" s="572"/>
      <c r="U194" s="281"/>
      <c r="V194" s="281"/>
      <c r="W194" s="281"/>
      <c r="X194" s="281"/>
      <c r="Y194" s="281"/>
      <c r="Z194" s="281"/>
      <c r="AA194" s="281"/>
      <c r="AB194" s="281"/>
      <c r="AC194" s="281"/>
      <c r="AD194" s="281"/>
      <c r="AE194" s="281"/>
      <c r="AF194" s="281"/>
      <c r="AG194" s="281"/>
      <c r="AH194" s="281"/>
      <c r="AI194" s="281"/>
      <c r="AJ194" s="281"/>
      <c r="AK194" s="281"/>
      <c r="AL194" s="281"/>
      <c r="AM194" s="281"/>
      <c r="AN194" s="281"/>
      <c r="AO194" s="281"/>
      <c r="AP194" s="281"/>
      <c r="AQ194" s="281"/>
      <c r="AR194" s="281"/>
      <c r="AS194" s="281"/>
      <c r="AT194" s="281"/>
      <c r="AU194" s="281"/>
    </row>
    <row r="195" spans="1:47" ht="25" customHeight="1" thickBot="1" x14ac:dyDescent="0.4">
      <c r="A195" s="396" t="s">
        <v>87</v>
      </c>
      <c r="B195" s="148">
        <v>-28</v>
      </c>
      <c r="C195" s="148">
        <v>6</v>
      </c>
      <c r="D195" s="262">
        <v>-36</v>
      </c>
      <c r="E195" s="148">
        <v>84</v>
      </c>
      <c r="F195" s="262">
        <v>5537563</v>
      </c>
      <c r="G195" s="330"/>
      <c r="H195" s="330"/>
      <c r="I195" s="330"/>
      <c r="J195" s="330"/>
      <c r="K195" s="330"/>
      <c r="L195" s="572"/>
      <c r="M195" s="572"/>
      <c r="N195" s="572"/>
      <c r="O195" s="572"/>
      <c r="P195" s="572"/>
      <c r="Q195" s="572"/>
      <c r="R195" s="572"/>
      <c r="S195" s="572"/>
      <c r="U195" s="281"/>
      <c r="V195" s="281"/>
      <c r="W195" s="281"/>
      <c r="X195" s="281"/>
      <c r="Y195" s="281"/>
      <c r="Z195" s="281"/>
      <c r="AA195" s="281"/>
      <c r="AB195" s="281"/>
      <c r="AC195" s="281"/>
      <c r="AD195" s="281"/>
      <c r="AE195" s="281"/>
      <c r="AF195" s="281"/>
      <c r="AG195" s="281"/>
      <c r="AH195" s="281"/>
      <c r="AI195" s="281"/>
      <c r="AJ195" s="281"/>
      <c r="AK195" s="281"/>
      <c r="AL195" s="281"/>
      <c r="AM195" s="281"/>
      <c r="AN195" s="281"/>
      <c r="AO195" s="281"/>
      <c r="AP195" s="281"/>
      <c r="AQ195" s="281"/>
      <c r="AR195" s="281"/>
      <c r="AS195" s="281"/>
      <c r="AT195" s="281"/>
      <c r="AU195" s="281"/>
    </row>
    <row r="196" spans="1:47" ht="25" customHeight="1" thickBot="1" x14ac:dyDescent="0.4">
      <c r="A196" s="396" t="s">
        <v>86</v>
      </c>
      <c r="B196" s="148" t="s">
        <v>89</v>
      </c>
      <c r="C196" s="148">
        <v>10</v>
      </c>
      <c r="D196" s="262">
        <v>124</v>
      </c>
      <c r="E196" s="148">
        <v>11</v>
      </c>
      <c r="F196" s="399"/>
      <c r="G196" s="330"/>
      <c r="H196" s="330"/>
      <c r="I196" s="330"/>
      <c r="J196" s="330"/>
      <c r="K196" s="330"/>
      <c r="L196" s="572"/>
      <c r="M196" s="572"/>
      <c r="N196" s="572"/>
      <c r="O196" s="572"/>
      <c r="P196" s="572"/>
      <c r="Q196" s="572"/>
      <c r="R196" s="572"/>
      <c r="S196" s="572"/>
      <c r="U196" s="281"/>
      <c r="V196" s="281"/>
      <c r="W196" s="281"/>
      <c r="X196" s="281"/>
      <c r="Y196" s="281"/>
      <c r="Z196" s="281"/>
      <c r="AA196" s="281"/>
      <c r="AB196" s="281"/>
      <c r="AC196" s="281"/>
      <c r="AD196" s="281"/>
      <c r="AE196" s="281"/>
      <c r="AF196" s="281"/>
      <c r="AG196" s="281"/>
      <c r="AH196" s="281"/>
      <c r="AI196" s="281"/>
      <c r="AJ196" s="281"/>
      <c r="AK196" s="281"/>
      <c r="AL196" s="281"/>
      <c r="AM196" s="281"/>
      <c r="AN196" s="281"/>
      <c r="AO196" s="281"/>
      <c r="AP196" s="281"/>
      <c r="AQ196" s="281"/>
      <c r="AR196" s="281"/>
      <c r="AS196" s="281"/>
      <c r="AT196" s="281"/>
      <c r="AU196" s="281"/>
    </row>
    <row r="197" spans="1:47" ht="25" customHeight="1" thickBot="1" x14ac:dyDescent="0.4">
      <c r="A197" s="318" t="s">
        <v>82</v>
      </c>
      <c r="B197" s="148">
        <v>-272</v>
      </c>
      <c r="C197" s="148">
        <v>-41</v>
      </c>
      <c r="D197" s="262">
        <v>484</v>
      </c>
      <c r="E197" s="148">
        <v>330</v>
      </c>
      <c r="F197" s="399"/>
      <c r="G197" s="330"/>
      <c r="H197" s="330"/>
      <c r="I197" s="330"/>
      <c r="J197" s="330"/>
      <c r="K197" s="330"/>
      <c r="L197" s="572"/>
      <c r="M197" s="572"/>
      <c r="N197" s="572"/>
      <c r="O197" s="572"/>
      <c r="P197" s="572"/>
      <c r="Q197" s="572"/>
      <c r="R197" s="572"/>
      <c r="S197" s="572"/>
      <c r="U197" s="281"/>
      <c r="V197" s="281"/>
      <c r="W197" s="281"/>
      <c r="X197" s="281"/>
      <c r="Y197" s="281"/>
      <c r="Z197" s="281"/>
      <c r="AA197" s="281"/>
      <c r="AB197" s="281"/>
      <c r="AC197" s="281"/>
      <c r="AD197" s="281"/>
      <c r="AE197" s="281"/>
      <c r="AF197" s="281"/>
      <c r="AG197" s="281"/>
      <c r="AH197" s="281"/>
      <c r="AI197" s="281"/>
      <c r="AJ197" s="281"/>
      <c r="AK197" s="281"/>
      <c r="AL197" s="281"/>
      <c r="AM197" s="281"/>
      <c r="AN197" s="281"/>
      <c r="AO197" s="281"/>
      <c r="AP197" s="281"/>
      <c r="AQ197" s="281"/>
      <c r="AR197" s="281"/>
      <c r="AS197" s="281"/>
      <c r="AT197" s="281"/>
      <c r="AU197" s="281"/>
    </row>
    <row r="198" spans="1:47" ht="25" customHeight="1" x14ac:dyDescent="0.35">
      <c r="A198" s="330"/>
      <c r="B198" s="330"/>
      <c r="C198" s="330"/>
      <c r="D198" s="330"/>
      <c r="E198" s="330"/>
      <c r="F198" s="150">
        <v>4284158</v>
      </c>
      <c r="G198" s="330"/>
      <c r="H198" s="330"/>
      <c r="I198" s="330"/>
      <c r="J198" s="330"/>
      <c r="K198" s="330"/>
      <c r="L198" s="572"/>
      <c r="M198" s="572"/>
      <c r="N198" s="572"/>
      <c r="O198" s="572"/>
      <c r="P198" s="572"/>
      <c r="Q198" s="572"/>
      <c r="R198" s="572"/>
      <c r="S198" s="572"/>
      <c r="U198" s="281"/>
      <c r="V198" s="281"/>
      <c r="W198" s="281"/>
      <c r="X198" s="281"/>
      <c r="Y198" s="281"/>
      <c r="Z198" s="281"/>
      <c r="AA198" s="281"/>
      <c r="AB198" s="281"/>
      <c r="AC198" s="281"/>
      <c r="AD198" s="281"/>
      <c r="AE198" s="281"/>
      <c r="AF198" s="281"/>
      <c r="AG198" s="281"/>
      <c r="AH198" s="281"/>
      <c r="AI198" s="281"/>
      <c r="AJ198" s="281"/>
      <c r="AK198" s="281"/>
      <c r="AL198" s="281"/>
      <c r="AM198" s="281"/>
      <c r="AN198" s="281"/>
      <c r="AO198" s="281"/>
      <c r="AP198" s="281"/>
      <c r="AQ198" s="281"/>
      <c r="AR198" s="281"/>
      <c r="AS198" s="281"/>
      <c r="AT198" s="281"/>
      <c r="AU198" s="281"/>
    </row>
    <row r="199" spans="1:47" ht="25" customHeight="1" x14ac:dyDescent="0.35">
      <c r="A199" s="330" t="s">
        <v>54</v>
      </c>
      <c r="B199" s="330"/>
      <c r="C199" s="330"/>
      <c r="D199" s="330"/>
      <c r="E199" s="330"/>
      <c r="F199" s="399"/>
      <c r="G199" s="330"/>
      <c r="H199" s="330"/>
      <c r="I199" s="330"/>
      <c r="J199" s="330"/>
      <c r="K199" s="330"/>
      <c r="L199" s="572"/>
      <c r="M199" s="572"/>
      <c r="N199" s="572"/>
      <c r="O199" s="572"/>
      <c r="P199" s="572"/>
      <c r="Q199" s="572"/>
      <c r="R199" s="572"/>
      <c r="S199" s="572"/>
      <c r="U199" s="281"/>
      <c r="V199" s="281"/>
      <c r="W199" s="281"/>
      <c r="X199" s="281"/>
      <c r="Y199" s="281"/>
      <c r="Z199" s="281"/>
      <c r="AA199" s="281"/>
      <c r="AB199" s="281"/>
      <c r="AC199" s="281"/>
      <c r="AD199" s="281"/>
      <c r="AE199" s="281"/>
      <c r="AF199" s="281"/>
      <c r="AG199" s="281"/>
      <c r="AH199" s="281"/>
      <c r="AI199" s="281"/>
      <c r="AJ199" s="281"/>
      <c r="AK199" s="281"/>
      <c r="AL199" s="281"/>
      <c r="AM199" s="281"/>
      <c r="AN199" s="281"/>
      <c r="AO199" s="281"/>
      <c r="AP199" s="281"/>
      <c r="AQ199" s="281"/>
      <c r="AR199" s="281"/>
      <c r="AS199" s="281"/>
      <c r="AT199" s="281"/>
      <c r="AU199" s="281"/>
    </row>
    <row r="200" spans="1:47" ht="25" customHeight="1" thickBot="1" x14ac:dyDescent="0.4">
      <c r="B200" s="337"/>
      <c r="C200" s="337"/>
      <c r="D200" s="337"/>
      <c r="E200" s="337"/>
      <c r="F200" s="331"/>
      <c r="G200" s="330"/>
      <c r="H200" s="330"/>
      <c r="I200" s="330"/>
      <c r="J200" s="330"/>
      <c r="K200" s="330"/>
      <c r="L200" s="572"/>
      <c r="M200" s="572"/>
      <c r="N200" s="572"/>
      <c r="O200" s="572"/>
      <c r="P200" s="572"/>
      <c r="Q200" s="572"/>
      <c r="R200" s="572"/>
      <c r="S200" s="572"/>
      <c r="U200" s="281"/>
      <c r="V200" s="281"/>
      <c r="W200" s="281"/>
      <c r="X200" s="281"/>
      <c r="Y200" s="281"/>
      <c r="Z200" s="281"/>
      <c r="AA200" s="281"/>
      <c r="AB200" s="281"/>
      <c r="AC200" s="281"/>
      <c r="AD200" s="281"/>
      <c r="AE200" s="281"/>
      <c r="AF200" s="281"/>
      <c r="AG200" s="281"/>
      <c r="AH200" s="281"/>
      <c r="AI200" s="281"/>
      <c r="AJ200" s="281"/>
      <c r="AK200" s="281"/>
      <c r="AL200" s="281"/>
      <c r="AM200" s="281"/>
      <c r="AN200" s="281"/>
      <c r="AO200" s="281"/>
      <c r="AP200" s="281"/>
      <c r="AQ200" s="281"/>
      <c r="AR200" s="281"/>
      <c r="AS200" s="281"/>
      <c r="AT200" s="281"/>
      <c r="AU200" s="281"/>
    </row>
    <row r="201" spans="1:47" ht="25" customHeight="1" thickBot="1" x14ac:dyDescent="0.4">
      <c r="B201" s="330"/>
      <c r="C201" s="330"/>
      <c r="D201" s="330"/>
      <c r="E201" s="330"/>
      <c r="F201" s="146">
        <v>-3169</v>
      </c>
      <c r="G201" s="330"/>
      <c r="H201" s="330"/>
      <c r="I201" s="330"/>
      <c r="J201" s="330"/>
      <c r="K201" s="330"/>
      <c r="L201" s="572"/>
      <c r="M201" s="572"/>
      <c r="N201" s="572"/>
      <c r="O201" s="572"/>
      <c r="P201" s="572"/>
      <c r="Q201" s="572"/>
      <c r="R201" s="572"/>
      <c r="S201" s="572"/>
      <c r="U201" s="281"/>
      <c r="V201" s="281"/>
      <c r="W201" s="281"/>
      <c r="X201" s="281"/>
      <c r="Y201" s="281"/>
      <c r="Z201" s="281"/>
      <c r="AA201" s="281"/>
      <c r="AB201" s="281"/>
      <c r="AC201" s="281"/>
      <c r="AD201" s="281"/>
      <c r="AE201" s="281"/>
      <c r="AF201" s="281"/>
      <c r="AG201" s="281"/>
      <c r="AH201" s="281"/>
      <c r="AI201" s="281"/>
      <c r="AJ201" s="281"/>
      <c r="AK201" s="281"/>
      <c r="AL201" s="281"/>
      <c r="AM201" s="281"/>
      <c r="AN201" s="281"/>
      <c r="AO201" s="281"/>
      <c r="AP201" s="281"/>
      <c r="AQ201" s="281"/>
      <c r="AR201" s="281"/>
      <c r="AS201" s="281"/>
      <c r="AT201" s="281"/>
      <c r="AU201" s="281"/>
    </row>
    <row r="202" spans="1:47" ht="25" customHeight="1" thickBot="1" x14ac:dyDescent="0.4">
      <c r="B202" s="330"/>
      <c r="C202" s="330"/>
      <c r="D202" s="330"/>
      <c r="E202" s="330"/>
      <c r="F202" s="148">
        <v>-1599</v>
      </c>
      <c r="G202" s="330"/>
      <c r="H202" s="330"/>
      <c r="I202" s="330"/>
      <c r="J202" s="330"/>
      <c r="K202" s="330"/>
      <c r="L202" s="572"/>
      <c r="M202" s="572"/>
      <c r="N202" s="572"/>
      <c r="O202" s="572"/>
      <c r="P202" s="572"/>
      <c r="Q202" s="572"/>
      <c r="R202" s="572"/>
      <c r="S202" s="572"/>
      <c r="U202" s="281"/>
      <c r="V202" s="281"/>
      <c r="W202" s="281"/>
      <c r="X202" s="281"/>
      <c r="Y202" s="281"/>
      <c r="Z202" s="281"/>
      <c r="AA202" s="281"/>
      <c r="AB202" s="281"/>
      <c r="AC202" s="281"/>
      <c r="AD202" s="281"/>
      <c r="AE202" s="281"/>
      <c r="AF202" s="281"/>
      <c r="AG202" s="281"/>
      <c r="AH202" s="281"/>
      <c r="AI202" s="281"/>
      <c r="AJ202" s="281"/>
      <c r="AK202" s="281"/>
      <c r="AL202" s="281"/>
      <c r="AM202" s="281"/>
      <c r="AN202" s="281"/>
      <c r="AO202" s="281"/>
      <c r="AP202" s="281"/>
      <c r="AQ202" s="281"/>
      <c r="AR202" s="281"/>
      <c r="AS202" s="281"/>
      <c r="AT202" s="281"/>
      <c r="AU202" s="281"/>
    </row>
    <row r="203" spans="1:47" ht="25" customHeight="1" thickBot="1" x14ac:dyDescent="0.4">
      <c r="A203" s="338" t="s">
        <v>52</v>
      </c>
      <c r="B203" s="330"/>
      <c r="C203" s="330"/>
      <c r="D203" s="330"/>
      <c r="E203" s="330"/>
      <c r="F203" s="148">
        <v>318</v>
      </c>
      <c r="G203" s="330"/>
      <c r="H203" s="330"/>
      <c r="I203" s="330"/>
      <c r="J203" s="330"/>
      <c r="K203" s="330"/>
      <c r="L203" s="572"/>
      <c r="M203" s="572"/>
      <c r="N203" s="572"/>
      <c r="O203" s="572"/>
      <c r="P203" s="572"/>
      <c r="Q203" s="572"/>
      <c r="R203" s="572"/>
      <c r="S203" s="572"/>
      <c r="U203" s="281"/>
      <c r="V203" s="281"/>
      <c r="W203" s="281"/>
      <c r="X203" s="281"/>
      <c r="Y203" s="281"/>
      <c r="Z203" s="281"/>
      <c r="AA203" s="281"/>
      <c r="AB203" s="281"/>
      <c r="AC203" s="281"/>
      <c r="AD203" s="281"/>
      <c r="AE203" s="281"/>
      <c r="AF203" s="281"/>
      <c r="AG203" s="281"/>
      <c r="AH203" s="281"/>
      <c r="AI203" s="281"/>
      <c r="AJ203" s="281"/>
      <c r="AK203" s="281"/>
      <c r="AL203" s="281"/>
      <c r="AM203" s="281"/>
      <c r="AN203" s="281"/>
      <c r="AO203" s="281"/>
      <c r="AP203" s="281"/>
      <c r="AQ203" s="281"/>
      <c r="AR203" s="281"/>
      <c r="AS203" s="281"/>
      <c r="AT203" s="281"/>
      <c r="AU203" s="281"/>
    </row>
    <row r="204" spans="1:47" ht="25" customHeight="1" thickBot="1" x14ac:dyDescent="0.4">
      <c r="A204" s="338" t="s">
        <v>53</v>
      </c>
      <c r="B204" s="330"/>
      <c r="C204" s="330"/>
      <c r="D204" s="330"/>
      <c r="E204" s="330"/>
      <c r="F204" s="148">
        <v>-10</v>
      </c>
      <c r="G204" s="330">
        <v>28276558.719999999</v>
      </c>
      <c r="H204" s="330"/>
      <c r="I204" s="330"/>
      <c r="J204" s="330"/>
      <c r="K204" s="330"/>
      <c r="L204" s="572"/>
      <c r="M204" s="572"/>
      <c r="N204" s="572"/>
      <c r="O204" s="572"/>
      <c r="P204" s="572"/>
      <c r="Q204" s="572"/>
      <c r="R204" s="572"/>
      <c r="S204" s="572"/>
      <c r="U204" s="281"/>
      <c r="V204" s="281"/>
      <c r="W204" s="281"/>
      <c r="X204" s="281"/>
      <c r="Y204" s="281"/>
      <c r="Z204" s="281"/>
      <c r="AA204" s="281"/>
      <c r="AB204" s="281"/>
      <c r="AC204" s="281"/>
      <c r="AD204" s="281"/>
      <c r="AE204" s="281"/>
      <c r="AF204" s="281"/>
      <c r="AG204" s="281"/>
      <c r="AH204" s="281"/>
      <c r="AI204" s="281"/>
      <c r="AJ204" s="281"/>
      <c r="AK204" s="281"/>
      <c r="AL204" s="281"/>
      <c r="AM204" s="281"/>
      <c r="AN204" s="281"/>
      <c r="AO204" s="281"/>
      <c r="AP204" s="281"/>
      <c r="AQ204" s="281"/>
      <c r="AR204" s="281"/>
      <c r="AS204" s="281"/>
      <c r="AT204" s="281"/>
      <c r="AU204" s="281"/>
    </row>
    <row r="205" spans="1:47" ht="25" customHeight="1" thickBot="1" x14ac:dyDescent="0.4">
      <c r="A205" s="338" t="s">
        <v>54</v>
      </c>
      <c r="B205" s="330"/>
      <c r="C205" s="330"/>
      <c r="D205" s="330"/>
      <c r="E205" s="330"/>
      <c r="F205" s="148">
        <v>0</v>
      </c>
      <c r="G205" s="330"/>
      <c r="H205" s="330"/>
      <c r="I205" s="330"/>
      <c r="J205" s="330"/>
      <c r="K205" s="330"/>
      <c r="L205" s="572"/>
      <c r="M205" s="572"/>
      <c r="N205" s="572"/>
      <c r="O205" s="572"/>
      <c r="P205" s="572"/>
      <c r="Q205" s="572"/>
      <c r="R205" s="572"/>
      <c r="S205" s="572"/>
      <c r="U205" s="281"/>
      <c r="V205" s="281"/>
      <c r="W205" s="281"/>
      <c r="X205" s="281"/>
      <c r="Y205" s="281"/>
      <c r="Z205" s="281"/>
      <c r="AA205" s="281"/>
      <c r="AB205" s="281"/>
      <c r="AC205" s="281"/>
      <c r="AD205" s="281"/>
      <c r="AE205" s="281"/>
      <c r="AF205" s="281"/>
      <c r="AG205" s="281"/>
      <c r="AH205" s="281"/>
      <c r="AI205" s="281"/>
      <c r="AJ205" s="281"/>
      <c r="AK205" s="281"/>
      <c r="AL205" s="281"/>
      <c r="AM205" s="281"/>
      <c r="AN205" s="281"/>
      <c r="AO205" s="281"/>
      <c r="AP205" s="281"/>
      <c r="AQ205" s="281"/>
      <c r="AR205" s="281"/>
      <c r="AS205" s="281"/>
      <c r="AT205" s="281"/>
      <c r="AU205" s="281"/>
    </row>
    <row r="206" spans="1:47" ht="25" customHeight="1" x14ac:dyDescent="0.35">
      <c r="A206" s="338" t="s">
        <v>56</v>
      </c>
      <c r="B206" s="330"/>
      <c r="C206" s="330"/>
      <c r="D206" s="330"/>
      <c r="E206" s="330"/>
      <c r="F206" s="148">
        <v>959</v>
      </c>
      <c r="G206" s="330"/>
      <c r="H206" s="330"/>
      <c r="I206" s="330"/>
      <c r="J206" s="330"/>
      <c r="K206" s="330"/>
      <c r="L206" s="572"/>
      <c r="M206" s="572"/>
      <c r="N206" s="572"/>
      <c r="O206" s="572"/>
      <c r="P206" s="572"/>
      <c r="Q206" s="572"/>
      <c r="R206" s="572"/>
      <c r="S206" s="572"/>
      <c r="U206" s="281"/>
      <c r="V206" s="281"/>
      <c r="W206" s="281"/>
      <c r="X206" s="281"/>
      <c r="Y206" s="281"/>
      <c r="Z206" s="281"/>
      <c r="AA206" s="281"/>
      <c r="AB206" s="281"/>
      <c r="AC206" s="281"/>
      <c r="AD206" s="281"/>
      <c r="AE206" s="281"/>
      <c r="AF206" s="281"/>
      <c r="AG206" s="281"/>
      <c r="AH206" s="281"/>
      <c r="AI206" s="281"/>
      <c r="AJ206" s="281"/>
      <c r="AK206" s="281"/>
      <c r="AL206" s="281"/>
      <c r="AM206" s="281"/>
      <c r="AN206" s="281"/>
      <c r="AO206" s="281"/>
      <c r="AP206" s="281"/>
      <c r="AQ206" s="281"/>
      <c r="AR206" s="281"/>
      <c r="AS206" s="281"/>
      <c r="AT206" s="281"/>
      <c r="AU206" s="281"/>
    </row>
    <row r="207" spans="1:47" ht="25" customHeight="1" x14ac:dyDescent="0.35">
      <c r="A207" s="338" t="s">
        <v>58</v>
      </c>
      <c r="B207" s="330"/>
      <c r="C207" s="330"/>
      <c r="D207" s="330"/>
      <c r="E207" s="330"/>
      <c r="F207" s="330"/>
      <c r="G207" s="330"/>
      <c r="H207" s="330"/>
      <c r="I207" s="330"/>
      <c r="J207" s="330"/>
      <c r="K207" s="330"/>
      <c r="L207" s="572"/>
      <c r="M207" s="572"/>
      <c r="N207" s="572"/>
      <c r="O207" s="572"/>
      <c r="P207" s="572"/>
      <c r="Q207" s="572"/>
      <c r="R207" s="572"/>
      <c r="S207" s="572"/>
      <c r="V207" s="281"/>
      <c r="W207" s="281"/>
      <c r="X207" s="281"/>
      <c r="Y207" s="281"/>
      <c r="Z207" s="281"/>
      <c r="AA207" s="281"/>
      <c r="AB207" s="281"/>
      <c r="AC207" s="281"/>
      <c r="AD207" s="281"/>
      <c r="AE207" s="281"/>
      <c r="AF207" s="281"/>
      <c r="AG207" s="281"/>
      <c r="AH207" s="281"/>
      <c r="AI207" s="281"/>
      <c r="AJ207" s="281"/>
      <c r="AK207" s="281"/>
      <c r="AL207" s="281"/>
      <c r="AM207" s="281"/>
      <c r="AN207" s="281"/>
      <c r="AO207" s="281"/>
      <c r="AP207" s="281"/>
      <c r="AQ207" s="281"/>
      <c r="AR207" s="281"/>
      <c r="AS207" s="281"/>
      <c r="AT207" s="281"/>
      <c r="AU207" s="281"/>
    </row>
    <row r="208" spans="1:47" ht="25" customHeight="1" x14ac:dyDescent="0.35">
      <c r="A208" s="338" t="s">
        <v>59</v>
      </c>
      <c r="B208" s="330"/>
      <c r="C208" s="330"/>
      <c r="D208" s="330"/>
      <c r="E208" s="330"/>
      <c r="F208" s="330"/>
      <c r="G208" s="330"/>
      <c r="H208" s="330"/>
      <c r="I208" s="330"/>
      <c r="J208" s="330"/>
      <c r="K208" s="330"/>
      <c r="L208" s="572"/>
      <c r="M208" s="572"/>
      <c r="N208" s="572"/>
      <c r="O208" s="572"/>
      <c r="P208" s="572"/>
      <c r="Q208" s="572"/>
      <c r="R208" s="572"/>
      <c r="S208" s="572"/>
      <c r="V208" s="281"/>
      <c r="W208" s="281"/>
      <c r="X208" s="281"/>
      <c r="Y208" s="281"/>
      <c r="Z208" s="281"/>
      <c r="AA208" s="281"/>
      <c r="AB208" s="281"/>
      <c r="AC208" s="281"/>
      <c r="AD208" s="281"/>
      <c r="AE208" s="281"/>
      <c r="AF208" s="281"/>
      <c r="AG208" s="281"/>
      <c r="AH208" s="281"/>
      <c r="AI208" s="281"/>
      <c r="AJ208" s="281"/>
      <c r="AK208" s="281"/>
      <c r="AL208" s="281"/>
      <c r="AM208" s="281"/>
      <c r="AN208" s="281"/>
      <c r="AO208" s="281"/>
      <c r="AP208" s="281"/>
      <c r="AQ208" s="281"/>
      <c r="AR208" s="281"/>
      <c r="AS208" s="281"/>
      <c r="AT208" s="281"/>
      <c r="AU208" s="281"/>
    </row>
    <row r="209" spans="1:47" ht="25" customHeight="1" x14ac:dyDescent="0.35">
      <c r="A209" s="338" t="s">
        <v>60</v>
      </c>
      <c r="B209" s="330"/>
      <c r="C209" s="330"/>
      <c r="D209" s="330"/>
      <c r="E209" s="330"/>
      <c r="F209" s="337"/>
      <c r="G209" s="330"/>
      <c r="H209" s="330"/>
      <c r="I209" s="330"/>
      <c r="J209" s="330"/>
      <c r="K209" s="330"/>
      <c r="L209" s="572"/>
      <c r="M209" s="572"/>
      <c r="N209" s="572"/>
      <c r="O209" s="572"/>
      <c r="P209" s="572"/>
      <c r="Q209" s="572"/>
      <c r="R209" s="572"/>
      <c r="S209" s="572"/>
      <c r="V209" s="281"/>
      <c r="W209" s="281"/>
      <c r="X209" s="281"/>
      <c r="Y209" s="281"/>
      <c r="Z209" s="281"/>
      <c r="AA209" s="281"/>
      <c r="AB209" s="281"/>
      <c r="AC209" s="281"/>
      <c r="AD209" s="281"/>
      <c r="AE209" s="281"/>
      <c r="AF209" s="281"/>
      <c r="AG209" s="281"/>
      <c r="AH209" s="281"/>
      <c r="AI209" s="281"/>
      <c r="AJ209" s="281"/>
      <c r="AK209" s="281"/>
      <c r="AL209" s="281"/>
      <c r="AM209" s="281"/>
      <c r="AN209" s="281"/>
      <c r="AO209" s="281"/>
      <c r="AP209" s="281"/>
      <c r="AQ209" s="281"/>
      <c r="AR209" s="281"/>
      <c r="AS209" s="281"/>
      <c r="AT209" s="281"/>
      <c r="AU209" s="281"/>
    </row>
    <row r="210" spans="1:47" ht="25" customHeight="1" x14ac:dyDescent="0.35">
      <c r="B210" s="330"/>
      <c r="C210" s="330"/>
      <c r="D210" s="330"/>
      <c r="E210" s="330"/>
      <c r="F210" s="330"/>
      <c r="G210" s="330"/>
      <c r="H210" s="330"/>
      <c r="I210" s="330"/>
      <c r="J210" s="330"/>
      <c r="K210" s="330"/>
      <c r="L210" s="572"/>
      <c r="M210" s="572"/>
      <c r="N210" s="572"/>
      <c r="O210" s="572"/>
      <c r="P210" s="572"/>
      <c r="Q210" s="572"/>
      <c r="R210" s="572"/>
      <c r="S210" s="572"/>
      <c r="V210" s="281"/>
      <c r="W210" s="281"/>
      <c r="X210" s="281"/>
      <c r="Y210" s="281"/>
      <c r="Z210" s="281"/>
      <c r="AA210" s="281"/>
      <c r="AB210" s="281"/>
      <c r="AC210" s="281"/>
      <c r="AD210" s="281"/>
      <c r="AE210" s="281"/>
      <c r="AF210" s="281"/>
      <c r="AG210" s="281"/>
      <c r="AH210" s="281"/>
      <c r="AI210" s="281"/>
      <c r="AJ210" s="281"/>
      <c r="AK210" s="281"/>
      <c r="AL210" s="281"/>
      <c r="AM210" s="281"/>
      <c r="AN210" s="281"/>
      <c r="AO210" s="281"/>
      <c r="AP210" s="281"/>
      <c r="AQ210" s="281"/>
      <c r="AR210" s="281"/>
      <c r="AS210" s="281"/>
      <c r="AT210" s="281"/>
      <c r="AU210" s="281"/>
    </row>
    <row r="211" spans="1:47" ht="25" customHeight="1" x14ac:dyDescent="0.35">
      <c r="B211" s="330"/>
      <c r="C211" s="330"/>
      <c r="D211" s="330"/>
      <c r="E211" s="330"/>
      <c r="F211" s="330"/>
      <c r="G211" s="330"/>
      <c r="H211" s="330"/>
      <c r="I211" s="330"/>
      <c r="J211" s="330"/>
      <c r="K211" s="330"/>
      <c r="L211" s="572"/>
      <c r="M211" s="572"/>
      <c r="N211" s="572"/>
      <c r="O211" s="572"/>
      <c r="P211" s="572"/>
      <c r="Q211" s="572"/>
      <c r="R211" s="572"/>
      <c r="S211" s="572"/>
      <c r="V211" s="281"/>
      <c r="W211" s="281"/>
      <c r="X211" s="281"/>
      <c r="Y211" s="281"/>
      <c r="Z211" s="281"/>
      <c r="AA211" s="281"/>
      <c r="AB211" s="281"/>
      <c r="AC211" s="281"/>
      <c r="AD211" s="281"/>
      <c r="AE211" s="281"/>
      <c r="AF211" s="281"/>
      <c r="AG211" s="281"/>
      <c r="AH211" s="281"/>
      <c r="AI211" s="281"/>
      <c r="AJ211" s="281"/>
      <c r="AK211" s="281"/>
      <c r="AL211" s="281"/>
      <c r="AM211" s="281"/>
      <c r="AN211" s="281"/>
      <c r="AO211" s="281"/>
      <c r="AP211" s="281"/>
      <c r="AQ211" s="281"/>
      <c r="AR211" s="281"/>
      <c r="AS211" s="281"/>
      <c r="AT211" s="281"/>
      <c r="AU211" s="281"/>
    </row>
    <row r="212" spans="1:47" ht="25" customHeight="1" x14ac:dyDescent="0.35">
      <c r="B212" s="330"/>
      <c r="C212" s="330"/>
      <c r="D212" s="330"/>
      <c r="E212" s="330"/>
      <c r="F212" s="330"/>
      <c r="G212" s="330"/>
      <c r="H212" s="330"/>
      <c r="I212" s="330"/>
      <c r="J212" s="330"/>
      <c r="K212" s="330"/>
      <c r="L212" s="572"/>
      <c r="M212" s="572"/>
      <c r="N212" s="572"/>
      <c r="O212" s="572"/>
      <c r="P212" s="572"/>
      <c r="Q212" s="572"/>
      <c r="R212" s="572"/>
      <c r="S212" s="572"/>
      <c r="V212" s="281"/>
      <c r="W212" s="281"/>
      <c r="X212" s="281"/>
      <c r="Y212" s="281"/>
      <c r="Z212" s="281"/>
      <c r="AA212" s="281"/>
      <c r="AB212" s="281"/>
      <c r="AC212" s="281"/>
      <c r="AD212" s="281"/>
      <c r="AE212" s="281"/>
      <c r="AF212" s="281"/>
      <c r="AG212" s="281"/>
      <c r="AH212" s="281"/>
      <c r="AI212" s="281"/>
      <c r="AJ212" s="281"/>
      <c r="AK212" s="281"/>
      <c r="AL212" s="281"/>
      <c r="AM212" s="281"/>
      <c r="AN212" s="281"/>
      <c r="AO212" s="281"/>
      <c r="AP212" s="281"/>
      <c r="AQ212" s="281"/>
      <c r="AR212" s="281"/>
      <c r="AS212" s="281"/>
      <c r="AT212" s="281"/>
      <c r="AU212" s="281"/>
    </row>
    <row r="213" spans="1:47" ht="25" customHeight="1" x14ac:dyDescent="0.35">
      <c r="B213" s="330"/>
      <c r="C213" s="330"/>
      <c r="D213" s="330"/>
      <c r="E213" s="330"/>
      <c r="F213" s="330"/>
      <c r="G213" s="330"/>
      <c r="H213" s="330"/>
      <c r="I213" s="330"/>
      <c r="J213" s="330"/>
      <c r="K213" s="330"/>
      <c r="L213" s="572"/>
      <c r="M213" s="572"/>
      <c r="N213" s="572"/>
      <c r="O213" s="572"/>
      <c r="P213" s="572"/>
      <c r="Q213" s="572"/>
      <c r="R213" s="572"/>
      <c r="S213" s="572"/>
      <c r="V213" s="281"/>
      <c r="W213" s="281"/>
      <c r="X213" s="281"/>
      <c r="Y213" s="281"/>
      <c r="Z213" s="281"/>
      <c r="AA213" s="281"/>
      <c r="AB213" s="281"/>
      <c r="AC213" s="281"/>
      <c r="AD213" s="281"/>
      <c r="AE213" s="281"/>
      <c r="AF213" s="281"/>
      <c r="AG213" s="281"/>
      <c r="AH213" s="281"/>
      <c r="AI213" s="281"/>
      <c r="AJ213" s="281"/>
      <c r="AK213" s="281"/>
      <c r="AL213" s="281"/>
      <c r="AM213" s="281"/>
      <c r="AN213" s="281"/>
      <c r="AO213" s="281"/>
      <c r="AP213" s="281"/>
      <c r="AQ213" s="281"/>
      <c r="AR213" s="281"/>
      <c r="AS213" s="281"/>
      <c r="AT213" s="281"/>
      <c r="AU213" s="281"/>
    </row>
    <row r="214" spans="1:47" ht="25" customHeight="1" x14ac:dyDescent="0.35">
      <c r="B214" s="330"/>
      <c r="C214" s="330"/>
      <c r="D214" s="330"/>
      <c r="E214" s="330"/>
      <c r="F214" s="330"/>
      <c r="G214" s="330"/>
      <c r="H214" s="330"/>
      <c r="I214" s="330"/>
      <c r="J214" s="330"/>
      <c r="K214" s="330"/>
      <c r="L214" s="572"/>
      <c r="M214" s="572"/>
      <c r="N214" s="572"/>
      <c r="O214" s="572"/>
      <c r="P214" s="572"/>
      <c r="Q214" s="572"/>
      <c r="R214" s="572"/>
      <c r="S214" s="572"/>
      <c r="V214" s="281"/>
      <c r="W214" s="281"/>
      <c r="X214" s="281"/>
      <c r="Y214" s="281"/>
      <c r="Z214" s="281"/>
      <c r="AA214" s="281"/>
      <c r="AB214" s="281"/>
      <c r="AC214" s="281"/>
      <c r="AD214" s="281"/>
      <c r="AE214" s="281"/>
      <c r="AF214" s="281"/>
      <c r="AG214" s="281"/>
      <c r="AH214" s="281"/>
      <c r="AI214" s="281"/>
      <c r="AJ214" s="281"/>
      <c r="AK214" s="281"/>
      <c r="AL214" s="281"/>
      <c r="AM214" s="281"/>
      <c r="AN214" s="281"/>
      <c r="AO214" s="281"/>
      <c r="AP214" s="281"/>
      <c r="AQ214" s="281"/>
      <c r="AR214" s="281"/>
      <c r="AS214" s="281"/>
      <c r="AT214" s="281"/>
      <c r="AU214" s="281"/>
    </row>
    <row r="215" spans="1:47" ht="25" customHeight="1" x14ac:dyDescent="0.35">
      <c r="B215" s="330"/>
      <c r="C215" s="330"/>
      <c r="D215" s="330"/>
      <c r="E215" s="330"/>
      <c r="F215" s="330"/>
      <c r="G215" s="330"/>
      <c r="H215" s="330"/>
      <c r="I215" s="330"/>
      <c r="J215" s="330"/>
      <c r="K215" s="341"/>
      <c r="L215" s="572"/>
      <c r="M215" s="572"/>
      <c r="N215" s="572"/>
      <c r="O215" s="572"/>
      <c r="P215" s="572"/>
      <c r="Q215" s="572"/>
      <c r="R215" s="572"/>
      <c r="S215" s="572"/>
      <c r="V215" s="281"/>
      <c r="W215" s="281"/>
      <c r="X215" s="281"/>
      <c r="Y215" s="281"/>
      <c r="Z215" s="281"/>
      <c r="AA215" s="281"/>
      <c r="AB215" s="281"/>
      <c r="AC215" s="281"/>
      <c r="AD215" s="281"/>
      <c r="AE215" s="281"/>
      <c r="AF215" s="281"/>
      <c r="AG215" s="281"/>
      <c r="AH215" s="281"/>
      <c r="AI215" s="281"/>
      <c r="AJ215" s="281"/>
      <c r="AK215" s="281"/>
      <c r="AL215" s="281"/>
      <c r="AM215" s="281"/>
      <c r="AN215" s="281"/>
      <c r="AO215" s="281"/>
      <c r="AP215" s="281"/>
      <c r="AQ215" s="281"/>
      <c r="AR215" s="281"/>
      <c r="AS215" s="281"/>
      <c r="AT215" s="281"/>
      <c r="AU215" s="281"/>
    </row>
    <row r="216" spans="1:47" ht="25" customHeight="1" x14ac:dyDescent="0.35">
      <c r="B216" s="330"/>
      <c r="C216" s="330"/>
      <c r="D216" s="330"/>
      <c r="E216" s="330"/>
      <c r="F216" s="330"/>
      <c r="G216" s="330"/>
      <c r="H216" s="330"/>
      <c r="I216" s="330"/>
      <c r="J216" s="330"/>
      <c r="K216" s="341"/>
      <c r="L216" s="572"/>
      <c r="M216" s="572"/>
      <c r="N216" s="572"/>
      <c r="O216" s="572"/>
      <c r="P216" s="572"/>
      <c r="Q216" s="572"/>
      <c r="R216" s="572"/>
      <c r="S216" s="572"/>
      <c r="V216" s="281"/>
      <c r="W216" s="281"/>
      <c r="X216" s="281"/>
      <c r="Y216" s="281"/>
      <c r="Z216" s="281"/>
      <c r="AA216" s="281"/>
      <c r="AB216" s="281"/>
      <c r="AC216" s="281"/>
      <c r="AD216" s="281"/>
      <c r="AE216" s="281"/>
      <c r="AF216" s="281"/>
      <c r="AG216" s="281"/>
      <c r="AH216" s="281"/>
      <c r="AI216" s="281"/>
      <c r="AJ216" s="281"/>
      <c r="AK216" s="281"/>
      <c r="AL216" s="281"/>
      <c r="AM216" s="281"/>
      <c r="AN216" s="281"/>
      <c r="AO216" s="281"/>
      <c r="AP216" s="281"/>
      <c r="AQ216" s="281"/>
      <c r="AR216" s="281"/>
      <c r="AS216" s="281"/>
      <c r="AT216" s="281"/>
      <c r="AU216" s="281"/>
    </row>
    <row r="217" spans="1:47" ht="25" customHeight="1" x14ac:dyDescent="0.35">
      <c r="B217" s="330"/>
      <c r="C217" s="330"/>
      <c r="D217" s="330"/>
      <c r="E217" s="330"/>
      <c r="F217" s="330"/>
      <c r="G217" s="330"/>
      <c r="H217" s="330"/>
      <c r="I217" s="330"/>
      <c r="J217" s="330"/>
      <c r="K217" s="341"/>
      <c r="L217" s="572"/>
      <c r="M217" s="572"/>
      <c r="N217" s="572"/>
      <c r="O217" s="572"/>
      <c r="P217" s="572"/>
      <c r="Q217" s="572"/>
      <c r="R217" s="572"/>
      <c r="S217" s="572"/>
      <c r="V217" s="281"/>
      <c r="W217" s="281"/>
      <c r="X217" s="281"/>
      <c r="Y217" s="281"/>
      <c r="Z217" s="281"/>
      <c r="AA217" s="281"/>
      <c r="AB217" s="281"/>
      <c r="AC217" s="281"/>
      <c r="AD217" s="281"/>
      <c r="AE217" s="281"/>
      <c r="AF217" s="281"/>
      <c r="AG217" s="281"/>
      <c r="AH217" s="281"/>
      <c r="AI217" s="281"/>
      <c r="AJ217" s="281"/>
      <c r="AK217" s="281"/>
      <c r="AL217" s="281"/>
      <c r="AM217" s="281"/>
      <c r="AN217" s="281"/>
      <c r="AO217" s="281"/>
      <c r="AP217" s="281"/>
      <c r="AQ217" s="281"/>
      <c r="AR217" s="281"/>
      <c r="AS217" s="281"/>
      <c r="AT217" s="281"/>
      <c r="AU217" s="281"/>
    </row>
    <row r="218" spans="1:47" ht="25" customHeight="1" x14ac:dyDescent="0.35">
      <c r="B218" s="330"/>
      <c r="C218" s="330"/>
      <c r="D218" s="330"/>
      <c r="E218" s="330"/>
      <c r="F218" s="330"/>
      <c r="G218" s="330"/>
      <c r="H218" s="330"/>
      <c r="I218" s="330"/>
      <c r="J218" s="330"/>
      <c r="K218" s="341"/>
      <c r="L218" s="572"/>
      <c r="M218" s="572"/>
      <c r="N218" s="572"/>
      <c r="O218" s="572"/>
      <c r="P218" s="572"/>
      <c r="Q218" s="572"/>
      <c r="R218" s="572"/>
      <c r="S218" s="572"/>
      <c r="V218" s="281"/>
      <c r="W218" s="281"/>
      <c r="X218" s="281"/>
      <c r="Y218" s="281"/>
      <c r="Z218" s="281"/>
      <c r="AA218" s="281"/>
      <c r="AB218" s="281"/>
      <c r="AC218" s="281"/>
      <c r="AD218" s="281"/>
      <c r="AE218" s="281"/>
      <c r="AF218" s="281"/>
      <c r="AG218" s="281"/>
      <c r="AH218" s="281"/>
      <c r="AI218" s="281"/>
      <c r="AJ218" s="281"/>
      <c r="AK218" s="281"/>
      <c r="AL218" s="281"/>
      <c r="AM218" s="281"/>
      <c r="AN218" s="281"/>
      <c r="AO218" s="281"/>
      <c r="AP218" s="281"/>
      <c r="AQ218" s="281"/>
      <c r="AR218" s="281"/>
      <c r="AS218" s="281"/>
      <c r="AT218" s="281"/>
      <c r="AU218" s="281"/>
    </row>
    <row r="219" spans="1:47" ht="25" customHeight="1" x14ac:dyDescent="0.35">
      <c r="A219" s="330" t="s">
        <v>128</v>
      </c>
      <c r="B219" s="330"/>
      <c r="C219" s="330"/>
      <c r="D219" s="330"/>
      <c r="E219" s="330"/>
      <c r="F219" s="330"/>
      <c r="G219" s="330"/>
      <c r="H219" s="330"/>
      <c r="I219" s="330"/>
      <c r="J219" s="330"/>
      <c r="K219" s="341"/>
      <c r="L219" s="572"/>
      <c r="M219" s="572"/>
      <c r="N219" s="572"/>
      <c r="O219" s="572"/>
      <c r="P219" s="572"/>
      <c r="Q219" s="572"/>
      <c r="R219" s="572"/>
      <c r="S219" s="572"/>
      <c r="V219" s="281"/>
      <c r="W219" s="281"/>
      <c r="X219" s="281"/>
      <c r="Y219" s="281"/>
      <c r="Z219" s="281"/>
      <c r="AA219" s="281"/>
      <c r="AB219" s="281"/>
      <c r="AC219" s="281"/>
      <c r="AD219" s="281"/>
      <c r="AE219" s="281"/>
      <c r="AF219" s="281"/>
      <c r="AG219" s="281"/>
      <c r="AH219" s="281"/>
      <c r="AI219" s="281"/>
      <c r="AJ219" s="281"/>
      <c r="AK219" s="281"/>
      <c r="AL219" s="281"/>
      <c r="AM219" s="281"/>
      <c r="AN219" s="281"/>
      <c r="AO219" s="281"/>
      <c r="AP219" s="281"/>
      <c r="AQ219" s="281"/>
      <c r="AR219" s="281"/>
      <c r="AS219" s="281"/>
      <c r="AT219" s="281"/>
      <c r="AU219" s="281"/>
    </row>
    <row r="220" spans="1:47" ht="25" customHeight="1" x14ac:dyDescent="0.35">
      <c r="A220" s="330" t="s">
        <v>129</v>
      </c>
      <c r="B220" s="330"/>
      <c r="C220" s="330"/>
      <c r="D220" s="330"/>
      <c r="E220" s="330"/>
      <c r="F220" s="330"/>
      <c r="G220" s="330"/>
      <c r="H220" s="330"/>
      <c r="I220" s="330"/>
      <c r="J220" s="330"/>
      <c r="K220" s="341"/>
      <c r="L220" s="572"/>
      <c r="M220" s="572"/>
      <c r="N220" s="572"/>
      <c r="O220" s="572"/>
      <c r="P220" s="572"/>
      <c r="Q220" s="572"/>
      <c r="R220" s="572"/>
      <c r="S220" s="572"/>
      <c r="V220" s="281"/>
      <c r="W220" s="281"/>
      <c r="X220" s="281"/>
      <c r="Y220" s="281"/>
      <c r="Z220" s="281"/>
      <c r="AA220" s="281"/>
      <c r="AB220" s="281"/>
      <c r="AC220" s="281"/>
      <c r="AD220" s="281"/>
      <c r="AE220" s="281"/>
      <c r="AF220" s="281"/>
      <c r="AG220" s="281"/>
      <c r="AH220" s="281"/>
      <c r="AI220" s="281"/>
      <c r="AJ220" s="281"/>
      <c r="AK220" s="281"/>
      <c r="AL220" s="281"/>
      <c r="AM220" s="281"/>
      <c r="AN220" s="281"/>
      <c r="AO220" s="281"/>
      <c r="AP220" s="281"/>
      <c r="AQ220" s="281"/>
      <c r="AR220" s="281"/>
      <c r="AS220" s="281"/>
      <c r="AT220" s="281"/>
      <c r="AU220" s="281"/>
    </row>
    <row r="221" spans="1:47" ht="25" customHeight="1" x14ac:dyDescent="0.35">
      <c r="A221" s="330" t="s">
        <v>130</v>
      </c>
      <c r="B221" s="330"/>
      <c r="C221" s="330"/>
      <c r="D221" s="330"/>
      <c r="E221" s="330"/>
      <c r="F221" s="330"/>
      <c r="G221" s="330"/>
      <c r="H221" s="330"/>
      <c r="I221" s="330"/>
      <c r="J221" s="330"/>
      <c r="K221" s="341"/>
      <c r="L221" s="572"/>
      <c r="M221" s="572"/>
      <c r="N221" s="572"/>
      <c r="O221" s="572"/>
      <c r="P221" s="572"/>
      <c r="Q221" s="572"/>
      <c r="R221" s="572"/>
      <c r="S221" s="572"/>
      <c r="V221" s="281"/>
      <c r="W221" s="281"/>
      <c r="X221" s="281"/>
      <c r="Y221" s="281"/>
      <c r="Z221" s="281"/>
      <c r="AA221" s="281"/>
      <c r="AB221" s="281"/>
      <c r="AC221" s="281"/>
      <c r="AD221" s="281"/>
      <c r="AE221" s="281"/>
      <c r="AF221" s="281"/>
      <c r="AG221" s="281"/>
      <c r="AH221" s="281"/>
      <c r="AI221" s="281"/>
      <c r="AJ221" s="281"/>
      <c r="AK221" s="281"/>
      <c r="AL221" s="281"/>
      <c r="AM221" s="281"/>
      <c r="AN221" s="281"/>
      <c r="AO221" s="281"/>
      <c r="AP221" s="281"/>
      <c r="AQ221" s="281"/>
      <c r="AR221" s="281"/>
      <c r="AS221" s="281"/>
      <c r="AT221" s="281"/>
      <c r="AU221" s="281"/>
    </row>
    <row r="222" spans="1:47" ht="25" customHeight="1" thickBot="1" x14ac:dyDescent="0.4">
      <c r="A222" s="330" t="s">
        <v>31</v>
      </c>
      <c r="B222" s="330"/>
      <c r="C222" s="330">
        <v>12763327.879000001</v>
      </c>
      <c r="D222" s="330">
        <v>17470110.029999997</v>
      </c>
      <c r="E222" s="330">
        <v>20404882.979000002</v>
      </c>
      <c r="F222" s="330"/>
      <c r="G222" s="330"/>
      <c r="H222" s="330"/>
      <c r="I222" s="330"/>
      <c r="J222" s="330"/>
      <c r="K222" s="341"/>
      <c r="L222" s="572"/>
      <c r="M222" s="572"/>
      <c r="N222" s="572"/>
      <c r="O222" s="572"/>
      <c r="P222" s="572"/>
      <c r="Q222" s="572"/>
      <c r="R222" s="572"/>
      <c r="S222" s="572"/>
      <c r="V222" s="281"/>
      <c r="W222" s="281"/>
      <c r="X222" s="281"/>
      <c r="Y222" s="281"/>
      <c r="Z222" s="281"/>
      <c r="AA222" s="281"/>
      <c r="AB222" s="281"/>
      <c r="AC222" s="281"/>
      <c r="AD222" s="281"/>
      <c r="AE222" s="281"/>
      <c r="AF222" s="281"/>
      <c r="AG222" s="281"/>
      <c r="AH222" s="281"/>
      <c r="AI222" s="281"/>
      <c r="AJ222" s="281"/>
      <c r="AK222" s="281"/>
      <c r="AL222" s="281"/>
      <c r="AM222" s="281"/>
      <c r="AN222" s="281"/>
      <c r="AO222" s="281"/>
      <c r="AP222" s="281"/>
      <c r="AQ222" s="281"/>
      <c r="AR222" s="281"/>
      <c r="AS222" s="281"/>
      <c r="AT222" s="281"/>
      <c r="AU222" s="281"/>
    </row>
    <row r="223" spans="1:47" ht="25" customHeight="1" thickBot="1" x14ac:dyDescent="0.4">
      <c r="A223" s="339" t="s">
        <v>131</v>
      </c>
      <c r="B223" s="340">
        <v>27950544</v>
      </c>
      <c r="C223" s="340">
        <v>29745906</v>
      </c>
      <c r="D223" s="340">
        <v>31967663</v>
      </c>
      <c r="E223" s="340">
        <v>34640863</v>
      </c>
      <c r="F223" s="330"/>
      <c r="G223" s="330"/>
      <c r="H223" s="330"/>
      <c r="I223" s="330"/>
      <c r="J223" s="330"/>
      <c r="K223" s="341"/>
      <c r="L223" s="572"/>
      <c r="M223" s="572"/>
      <c r="N223" s="572"/>
      <c r="O223" s="572"/>
      <c r="P223" s="572"/>
      <c r="Q223" s="572"/>
      <c r="R223" s="572"/>
      <c r="S223" s="572"/>
      <c r="V223" s="281"/>
      <c r="W223" s="281"/>
      <c r="X223" s="281"/>
      <c r="Y223" s="281"/>
      <c r="Z223" s="281"/>
      <c r="AA223" s="281"/>
      <c r="AB223" s="281"/>
      <c r="AC223" s="281"/>
      <c r="AD223" s="281"/>
      <c r="AE223" s="281"/>
      <c r="AF223" s="281"/>
      <c r="AG223" s="281"/>
      <c r="AH223" s="281"/>
      <c r="AI223" s="281"/>
      <c r="AJ223" s="281"/>
      <c r="AK223" s="281"/>
      <c r="AL223" s="281"/>
      <c r="AM223" s="281"/>
      <c r="AN223" s="281"/>
      <c r="AO223" s="281"/>
      <c r="AP223" s="281"/>
      <c r="AQ223" s="281"/>
      <c r="AR223" s="281"/>
      <c r="AS223" s="281"/>
      <c r="AT223" s="281"/>
      <c r="AU223" s="281"/>
    </row>
    <row r="224" spans="1:47" ht="25" customHeight="1" x14ac:dyDescent="0.35">
      <c r="A224" s="330" t="s">
        <v>132</v>
      </c>
      <c r="B224" s="330"/>
      <c r="C224" s="330"/>
      <c r="D224" s="330"/>
      <c r="E224" s="330"/>
      <c r="F224" s="330"/>
      <c r="G224" s="330"/>
      <c r="H224" s="330"/>
      <c r="I224" s="330"/>
      <c r="J224" s="330"/>
      <c r="K224" s="341"/>
      <c r="L224" s="572"/>
      <c r="M224" s="572"/>
      <c r="N224" s="572"/>
      <c r="O224" s="572"/>
      <c r="P224" s="572"/>
      <c r="Q224" s="572"/>
      <c r="R224" s="572"/>
      <c r="S224" s="572"/>
      <c r="V224" s="281"/>
      <c r="W224" s="281"/>
      <c r="X224" s="281"/>
      <c r="Y224" s="281"/>
      <c r="Z224" s="281"/>
      <c r="AA224" s="281"/>
      <c r="AB224" s="281"/>
      <c r="AC224" s="281"/>
      <c r="AD224" s="281"/>
      <c r="AE224" s="281"/>
      <c r="AF224" s="281"/>
      <c r="AG224" s="281"/>
      <c r="AH224" s="281"/>
      <c r="AI224" s="281"/>
      <c r="AJ224" s="281"/>
      <c r="AK224" s="281"/>
      <c r="AL224" s="281"/>
      <c r="AM224" s="281"/>
      <c r="AN224" s="281"/>
      <c r="AO224" s="281"/>
      <c r="AP224" s="281"/>
      <c r="AQ224" s="281"/>
      <c r="AR224" s="281"/>
      <c r="AS224" s="281"/>
      <c r="AT224" s="281"/>
      <c r="AU224" s="281"/>
    </row>
    <row r="225" spans="1:47" ht="25" customHeight="1" x14ac:dyDescent="0.35">
      <c r="A225" s="330" t="s">
        <v>133</v>
      </c>
      <c r="B225" s="330"/>
      <c r="C225" s="330"/>
      <c r="D225" s="330"/>
      <c r="E225" s="330"/>
      <c r="F225" s="330"/>
      <c r="G225" s="330"/>
      <c r="H225" s="330"/>
      <c r="I225" s="330"/>
      <c r="J225" s="330"/>
      <c r="K225" s="341"/>
      <c r="L225" s="572"/>
      <c r="M225" s="572"/>
      <c r="N225" s="572"/>
      <c r="O225" s="572"/>
      <c r="P225" s="572"/>
      <c r="Q225" s="572"/>
      <c r="R225" s="572"/>
      <c r="S225" s="572"/>
      <c r="V225" s="281"/>
      <c r="W225" s="281"/>
      <c r="X225" s="281"/>
      <c r="Y225" s="281"/>
      <c r="Z225" s="281"/>
      <c r="AA225" s="281"/>
      <c r="AB225" s="281"/>
      <c r="AC225" s="281"/>
      <c r="AD225" s="281"/>
      <c r="AE225" s="281"/>
      <c r="AF225" s="281"/>
      <c r="AG225" s="281"/>
      <c r="AH225" s="281"/>
      <c r="AI225" s="281"/>
      <c r="AJ225" s="281"/>
      <c r="AK225" s="281"/>
      <c r="AL225" s="281"/>
      <c r="AM225" s="281"/>
      <c r="AN225" s="281"/>
      <c r="AO225" s="281"/>
      <c r="AP225" s="281"/>
      <c r="AQ225" s="281"/>
      <c r="AR225" s="281"/>
      <c r="AS225" s="281"/>
      <c r="AT225" s="281"/>
      <c r="AU225" s="281"/>
    </row>
    <row r="226" spans="1:47" ht="25" customHeight="1" x14ac:dyDescent="0.35">
      <c r="A226" s="330" t="s">
        <v>128</v>
      </c>
      <c r="B226" s="330"/>
      <c r="C226" s="330"/>
      <c r="D226" s="330"/>
      <c r="E226" s="330"/>
      <c r="F226" s="330"/>
      <c r="G226" s="330"/>
      <c r="H226" s="330"/>
      <c r="I226" s="330"/>
      <c r="J226" s="330"/>
      <c r="K226" s="341"/>
      <c r="L226" s="572"/>
      <c r="M226" s="572"/>
      <c r="N226" s="572"/>
      <c r="O226" s="572"/>
      <c r="P226" s="572"/>
      <c r="Q226" s="572"/>
      <c r="R226" s="572"/>
      <c r="S226" s="572"/>
      <c r="V226" s="281"/>
      <c r="W226" s="281"/>
      <c r="X226" s="281"/>
      <c r="Y226" s="281"/>
      <c r="Z226" s="281"/>
      <c r="AA226" s="281"/>
      <c r="AB226" s="281"/>
      <c r="AC226" s="281"/>
      <c r="AD226" s="281"/>
      <c r="AE226" s="281"/>
      <c r="AF226" s="281"/>
      <c r="AG226" s="281"/>
      <c r="AH226" s="281"/>
      <c r="AI226" s="281"/>
      <c r="AJ226" s="281"/>
      <c r="AK226" s="281"/>
      <c r="AL226" s="281"/>
      <c r="AM226" s="281"/>
      <c r="AN226" s="281"/>
      <c r="AO226" s="281"/>
      <c r="AP226" s="281"/>
      <c r="AQ226" s="281"/>
      <c r="AR226" s="281"/>
      <c r="AS226" s="281"/>
      <c r="AT226" s="281"/>
      <c r="AU226" s="281"/>
    </row>
    <row r="227" spans="1:47" ht="25" customHeight="1" x14ac:dyDescent="0.35">
      <c r="A227" s="330" t="s">
        <v>129</v>
      </c>
      <c r="B227" s="330"/>
      <c r="C227" s="330"/>
      <c r="D227" s="330"/>
      <c r="E227" s="330"/>
      <c r="F227" s="330"/>
      <c r="G227" s="330"/>
      <c r="H227" s="330"/>
      <c r="I227" s="330"/>
      <c r="J227" s="330"/>
      <c r="K227" s="341"/>
      <c r="L227" s="572"/>
      <c r="M227" s="572"/>
      <c r="N227" s="572"/>
      <c r="O227" s="572"/>
      <c r="P227" s="572"/>
      <c r="Q227" s="572"/>
      <c r="R227" s="572"/>
      <c r="S227" s="572"/>
      <c r="V227" s="281"/>
      <c r="W227" s="281"/>
      <c r="X227" s="281"/>
      <c r="Y227" s="281"/>
      <c r="Z227" s="281"/>
      <c r="AA227" s="281"/>
      <c r="AB227" s="281"/>
      <c r="AC227" s="281"/>
      <c r="AD227" s="281"/>
      <c r="AE227" s="281"/>
      <c r="AF227" s="281"/>
      <c r="AG227" s="281"/>
      <c r="AH227" s="281"/>
      <c r="AI227" s="281"/>
      <c r="AJ227" s="281"/>
      <c r="AK227" s="281"/>
      <c r="AL227" s="281"/>
      <c r="AM227" s="281"/>
      <c r="AN227" s="281"/>
      <c r="AO227" s="281"/>
      <c r="AP227" s="281"/>
      <c r="AQ227" s="281"/>
      <c r="AR227" s="281"/>
      <c r="AS227" s="281"/>
      <c r="AT227" s="281"/>
      <c r="AU227" s="281"/>
    </row>
    <row r="228" spans="1:47" ht="25" customHeight="1" x14ac:dyDescent="0.35">
      <c r="A228" s="330" t="s">
        <v>130</v>
      </c>
      <c r="B228" s="330"/>
      <c r="C228" s="330"/>
      <c r="D228" s="330"/>
      <c r="E228" s="330"/>
      <c r="F228" s="330"/>
      <c r="G228" s="330"/>
      <c r="H228" s="330"/>
      <c r="I228" s="330"/>
      <c r="J228" s="330"/>
      <c r="K228" s="341"/>
      <c r="L228" s="572"/>
      <c r="M228" s="572"/>
      <c r="N228" s="572"/>
      <c r="O228" s="572"/>
      <c r="P228" s="572"/>
      <c r="Q228" s="572"/>
      <c r="R228" s="572"/>
      <c r="S228" s="572"/>
      <c r="V228" s="281"/>
      <c r="W228" s="281"/>
      <c r="X228" s="281"/>
      <c r="Y228" s="281"/>
      <c r="Z228" s="281"/>
      <c r="AA228" s="281"/>
      <c r="AB228" s="281"/>
      <c r="AC228" s="281"/>
      <c r="AD228" s="281"/>
      <c r="AE228" s="281"/>
      <c r="AF228" s="281"/>
      <c r="AG228" s="281"/>
      <c r="AH228" s="281"/>
      <c r="AI228" s="281"/>
      <c r="AJ228" s="281"/>
      <c r="AK228" s="281"/>
      <c r="AL228" s="281"/>
      <c r="AM228" s="281"/>
      <c r="AN228" s="281"/>
      <c r="AO228" s="281"/>
      <c r="AP228" s="281"/>
      <c r="AQ228" s="281"/>
      <c r="AR228" s="281"/>
      <c r="AS228" s="281"/>
      <c r="AT228" s="281"/>
      <c r="AU228" s="281"/>
    </row>
    <row r="229" spans="1:47" ht="25" customHeight="1" x14ac:dyDescent="0.35">
      <c r="A229" s="330"/>
      <c r="B229" s="330"/>
      <c r="C229" s="330"/>
      <c r="D229" s="330"/>
      <c r="E229" s="330"/>
      <c r="F229" s="330"/>
      <c r="G229" s="330"/>
      <c r="H229" s="330"/>
      <c r="I229" s="330"/>
      <c r="J229" s="330"/>
      <c r="K229" s="341"/>
      <c r="L229" s="572"/>
      <c r="M229" s="572"/>
      <c r="N229" s="572"/>
      <c r="O229" s="572"/>
      <c r="P229" s="572"/>
      <c r="Q229" s="572"/>
      <c r="R229" s="572"/>
      <c r="S229" s="572"/>
      <c r="V229" s="281"/>
      <c r="W229" s="281"/>
      <c r="X229" s="281"/>
      <c r="Y229" s="281"/>
      <c r="Z229" s="281"/>
      <c r="AA229" s="281"/>
      <c r="AB229" s="281"/>
      <c r="AC229" s="281"/>
      <c r="AD229" s="281"/>
      <c r="AE229" s="281"/>
      <c r="AF229" s="281"/>
      <c r="AG229" s="281"/>
      <c r="AH229" s="281"/>
      <c r="AI229" s="281"/>
      <c r="AJ229" s="281"/>
      <c r="AK229" s="281"/>
      <c r="AL229" s="281"/>
      <c r="AM229" s="281"/>
      <c r="AN229" s="281"/>
      <c r="AO229" s="281"/>
      <c r="AP229" s="281"/>
      <c r="AQ229" s="281"/>
      <c r="AR229" s="281"/>
      <c r="AS229" s="281"/>
      <c r="AT229" s="281"/>
      <c r="AU229" s="281"/>
    </row>
    <row r="230" spans="1:47" ht="25" customHeight="1" x14ac:dyDescent="0.35">
      <c r="A230" s="330"/>
      <c r="B230" s="330"/>
      <c r="C230" s="330"/>
      <c r="D230" s="330"/>
      <c r="E230" s="330"/>
      <c r="F230" s="330"/>
      <c r="G230" s="330"/>
      <c r="H230" s="330"/>
      <c r="I230" s="330"/>
      <c r="J230" s="330"/>
      <c r="K230" s="341"/>
      <c r="L230" s="572"/>
      <c r="M230" s="572"/>
      <c r="N230" s="572"/>
      <c r="O230" s="572"/>
      <c r="P230" s="572"/>
      <c r="Q230" s="572"/>
      <c r="R230" s="572"/>
      <c r="S230" s="572"/>
      <c r="V230" s="281"/>
      <c r="W230" s="281"/>
      <c r="X230" s="281"/>
      <c r="Y230" s="281"/>
      <c r="Z230" s="281"/>
      <c r="AA230" s="281"/>
      <c r="AB230" s="281"/>
      <c r="AC230" s="281"/>
      <c r="AD230" s="281"/>
      <c r="AE230" s="281"/>
      <c r="AF230" s="281"/>
      <c r="AG230" s="281"/>
      <c r="AH230" s="281"/>
      <c r="AI230" s="281"/>
      <c r="AJ230" s="281"/>
      <c r="AK230" s="281"/>
      <c r="AL230" s="281"/>
      <c r="AM230" s="281"/>
      <c r="AN230" s="281"/>
      <c r="AO230" s="281"/>
      <c r="AP230" s="281"/>
      <c r="AQ230" s="281"/>
      <c r="AR230" s="281"/>
      <c r="AS230" s="281"/>
      <c r="AT230" s="281"/>
      <c r="AU230" s="281"/>
    </row>
    <row r="231" spans="1:47" ht="25" customHeight="1" thickBot="1" x14ac:dyDescent="0.4">
      <c r="A231" s="330"/>
      <c r="B231" s="330"/>
      <c r="C231" s="330"/>
      <c r="D231" s="330"/>
      <c r="E231" s="330"/>
      <c r="F231" s="330">
        <v>23994511.971000001</v>
      </c>
      <c r="G231" s="330"/>
      <c r="H231" s="330"/>
      <c r="I231" s="330"/>
      <c r="J231" s="330"/>
      <c r="K231" s="341"/>
      <c r="L231" s="572"/>
      <c r="M231" s="572"/>
      <c r="N231" s="572"/>
      <c r="O231" s="572"/>
      <c r="P231" s="572"/>
      <c r="Q231" s="572"/>
      <c r="R231" s="572"/>
      <c r="S231" s="572"/>
      <c r="V231" s="281"/>
      <c r="W231" s="281"/>
      <c r="X231" s="281"/>
      <c r="Y231" s="281"/>
      <c r="Z231" s="281"/>
      <c r="AA231" s="281"/>
      <c r="AB231" s="281"/>
      <c r="AC231" s="281"/>
      <c r="AD231" s="281"/>
      <c r="AE231" s="281"/>
      <c r="AF231" s="281"/>
      <c r="AG231" s="281"/>
      <c r="AH231" s="281"/>
      <c r="AI231" s="281"/>
      <c r="AJ231" s="281"/>
      <c r="AK231" s="281"/>
      <c r="AL231" s="281"/>
      <c r="AM231" s="281"/>
      <c r="AN231" s="281"/>
      <c r="AO231" s="281"/>
      <c r="AP231" s="281"/>
      <c r="AQ231" s="281"/>
      <c r="AR231" s="281"/>
      <c r="AS231" s="281"/>
      <c r="AT231" s="281"/>
      <c r="AU231" s="281"/>
    </row>
    <row r="232" spans="1:47" ht="25" customHeight="1" x14ac:dyDescent="0.35">
      <c r="A232" s="330" t="s">
        <v>38</v>
      </c>
      <c r="B232" s="330"/>
      <c r="C232" s="330"/>
      <c r="D232" s="330"/>
      <c r="E232" s="330"/>
      <c r="F232" s="340">
        <v>36059016</v>
      </c>
      <c r="G232" s="330"/>
      <c r="H232" s="330"/>
      <c r="I232" s="330"/>
      <c r="J232" s="330"/>
      <c r="K232" s="341"/>
      <c r="L232" s="572"/>
      <c r="M232" s="572"/>
      <c r="N232" s="572"/>
      <c r="O232" s="572"/>
      <c r="P232" s="572"/>
      <c r="Q232" s="572"/>
      <c r="R232" s="572"/>
      <c r="S232" s="572"/>
      <c r="V232" s="281"/>
      <c r="W232" s="281"/>
      <c r="X232" s="281"/>
      <c r="Y232" s="281"/>
      <c r="Z232" s="281"/>
      <c r="AA232" s="281"/>
      <c r="AB232" s="281"/>
      <c r="AC232" s="281"/>
      <c r="AD232" s="281"/>
      <c r="AE232" s="281"/>
      <c r="AF232" s="281"/>
      <c r="AG232" s="281"/>
      <c r="AH232" s="281"/>
      <c r="AI232" s="281"/>
      <c r="AJ232" s="281"/>
      <c r="AK232" s="281"/>
      <c r="AL232" s="281"/>
      <c r="AM232" s="281"/>
      <c r="AN232" s="281"/>
      <c r="AO232" s="281"/>
      <c r="AP232" s="281"/>
      <c r="AQ232" s="281"/>
      <c r="AR232" s="281"/>
      <c r="AS232" s="281"/>
      <c r="AT232" s="281"/>
      <c r="AU232" s="281"/>
    </row>
    <row r="233" spans="1:47" ht="25" customHeight="1" x14ac:dyDescent="0.35">
      <c r="A233" s="330" t="s">
        <v>134</v>
      </c>
      <c r="B233" s="330"/>
      <c r="C233" s="330"/>
      <c r="D233" s="330"/>
      <c r="E233" s="330"/>
      <c r="F233" s="330"/>
      <c r="G233" s="330"/>
      <c r="H233" s="330"/>
      <c r="I233" s="330"/>
      <c r="J233" s="330"/>
      <c r="K233" s="341"/>
      <c r="L233" s="572"/>
      <c r="M233" s="572"/>
      <c r="N233" s="572"/>
      <c r="O233" s="572"/>
      <c r="P233" s="572"/>
      <c r="Q233" s="572"/>
      <c r="R233" s="572"/>
      <c r="S233" s="572"/>
      <c r="V233" s="281"/>
      <c r="W233" s="281"/>
      <c r="X233" s="281"/>
      <c r="Y233" s="281"/>
      <c r="Z233" s="281"/>
      <c r="AA233" s="281"/>
      <c r="AB233" s="281"/>
      <c r="AC233" s="281"/>
      <c r="AD233" s="281"/>
      <c r="AE233" s="281"/>
      <c r="AF233" s="281"/>
      <c r="AG233" s="281"/>
      <c r="AH233" s="281"/>
      <c r="AI233" s="281"/>
      <c r="AJ233" s="281"/>
      <c r="AK233" s="281"/>
      <c r="AL233" s="281"/>
      <c r="AM233" s="281"/>
      <c r="AN233" s="281"/>
      <c r="AO233" s="281"/>
      <c r="AP233" s="281"/>
      <c r="AQ233" s="281"/>
      <c r="AR233" s="281"/>
      <c r="AS233" s="281"/>
      <c r="AT233" s="281"/>
      <c r="AU233" s="281"/>
    </row>
    <row r="234" spans="1:47" ht="25" customHeight="1" x14ac:dyDescent="0.35">
      <c r="A234" s="330" t="s">
        <v>135</v>
      </c>
      <c r="B234" s="330"/>
      <c r="C234" s="330"/>
      <c r="D234" s="330"/>
      <c r="E234" s="330"/>
      <c r="F234" s="330"/>
      <c r="G234" s="330"/>
      <c r="H234" s="330"/>
      <c r="I234" s="330"/>
      <c r="J234" s="330"/>
      <c r="K234" s="341"/>
      <c r="L234" s="572"/>
      <c r="M234" s="572"/>
      <c r="N234" s="572"/>
      <c r="O234" s="572"/>
      <c r="P234" s="572"/>
      <c r="Q234" s="572"/>
      <c r="R234" s="572"/>
      <c r="S234" s="572"/>
      <c r="V234" s="281"/>
      <c r="W234" s="281"/>
      <c r="X234" s="281"/>
      <c r="Y234" s="281"/>
      <c r="Z234" s="281"/>
      <c r="AA234" s="281"/>
      <c r="AB234" s="281"/>
      <c r="AC234" s="281"/>
      <c r="AD234" s="281"/>
      <c r="AE234" s="281"/>
      <c r="AF234" s="281"/>
      <c r="AG234" s="281"/>
      <c r="AH234" s="281"/>
      <c r="AI234" s="281"/>
      <c r="AJ234" s="281"/>
      <c r="AK234" s="281"/>
      <c r="AL234" s="281"/>
      <c r="AM234" s="281"/>
      <c r="AN234" s="281"/>
      <c r="AO234" s="281"/>
      <c r="AP234" s="281"/>
      <c r="AQ234" s="281"/>
      <c r="AR234" s="281"/>
      <c r="AS234" s="281"/>
      <c r="AT234" s="281"/>
      <c r="AU234" s="281"/>
    </row>
    <row r="235" spans="1:47" ht="25" customHeight="1" x14ac:dyDescent="0.35">
      <c r="A235" s="330" t="s">
        <v>136</v>
      </c>
      <c r="B235" s="330"/>
      <c r="C235" s="330"/>
      <c r="D235" s="330"/>
      <c r="E235" s="330"/>
      <c r="F235" s="330"/>
      <c r="G235" s="330"/>
      <c r="H235" s="330"/>
      <c r="I235" s="330"/>
      <c r="J235" s="330"/>
      <c r="K235" s="341"/>
      <c r="L235" s="572"/>
      <c r="M235" s="572"/>
      <c r="N235" s="572"/>
      <c r="O235" s="572"/>
      <c r="P235" s="572"/>
      <c r="Q235" s="572"/>
      <c r="R235" s="572"/>
      <c r="S235" s="572"/>
      <c r="V235" s="281"/>
      <c r="W235" s="281"/>
      <c r="X235" s="281"/>
      <c r="Y235" s="281"/>
      <c r="Z235" s="281"/>
      <c r="AA235" s="281"/>
      <c r="AB235" s="281"/>
      <c r="AC235" s="281"/>
      <c r="AD235" s="281"/>
      <c r="AE235" s="281"/>
      <c r="AF235" s="281"/>
      <c r="AG235" s="281"/>
      <c r="AH235" s="281"/>
      <c r="AI235" s="281"/>
      <c r="AJ235" s="281"/>
      <c r="AK235" s="281"/>
      <c r="AL235" s="281"/>
      <c r="AM235" s="281"/>
      <c r="AN235" s="281"/>
      <c r="AO235" s="281"/>
      <c r="AP235" s="281"/>
      <c r="AQ235" s="281"/>
      <c r="AR235" s="281"/>
      <c r="AS235" s="281"/>
      <c r="AT235" s="281"/>
      <c r="AU235" s="281"/>
    </row>
    <row r="236" spans="1:47" ht="25" customHeight="1" x14ac:dyDescent="0.35">
      <c r="A236" s="330" t="s">
        <v>137</v>
      </c>
      <c r="B236" s="330"/>
      <c r="C236" s="330"/>
      <c r="D236" s="330"/>
      <c r="E236" s="330"/>
      <c r="F236" s="330"/>
      <c r="G236" s="330"/>
      <c r="H236" s="330"/>
      <c r="I236" s="330"/>
      <c r="J236" s="330"/>
      <c r="K236" s="341"/>
      <c r="L236" s="572"/>
      <c r="M236" s="572"/>
      <c r="N236" s="572"/>
      <c r="O236" s="572"/>
      <c r="P236" s="572"/>
      <c r="Q236" s="572"/>
      <c r="R236" s="572"/>
      <c r="S236" s="572"/>
      <c r="V236" s="281"/>
      <c r="W236" s="281"/>
      <c r="X236" s="281"/>
      <c r="Y236" s="281"/>
      <c r="Z236" s="281"/>
      <c r="AA236" s="281"/>
      <c r="AB236" s="281"/>
      <c r="AC236" s="281"/>
      <c r="AD236" s="281"/>
      <c r="AE236" s="281"/>
      <c r="AF236" s="281"/>
      <c r="AG236" s="281"/>
      <c r="AH236" s="281"/>
      <c r="AI236" s="281"/>
      <c r="AJ236" s="281"/>
      <c r="AK236" s="281"/>
      <c r="AL236" s="281"/>
      <c r="AM236" s="281"/>
      <c r="AN236" s="281"/>
      <c r="AO236" s="281"/>
      <c r="AP236" s="281"/>
      <c r="AQ236" s="281"/>
      <c r="AR236" s="281"/>
      <c r="AS236" s="281"/>
      <c r="AT236" s="281"/>
      <c r="AU236" s="281"/>
    </row>
    <row r="237" spans="1:47" ht="25" customHeight="1" x14ac:dyDescent="0.35">
      <c r="A237" s="330" t="s">
        <v>138</v>
      </c>
      <c r="B237" s="330"/>
      <c r="C237" s="330"/>
      <c r="D237" s="330"/>
      <c r="E237" s="330"/>
      <c r="F237" s="330"/>
      <c r="G237" s="330"/>
      <c r="H237" s="330"/>
      <c r="I237" s="330"/>
      <c r="J237" s="330"/>
      <c r="K237" s="341"/>
      <c r="L237" s="572"/>
      <c r="M237" s="572"/>
      <c r="N237" s="572"/>
      <c r="O237" s="572"/>
      <c r="P237" s="572"/>
      <c r="Q237" s="572"/>
      <c r="R237" s="572"/>
      <c r="S237" s="572"/>
      <c r="V237" s="281"/>
      <c r="W237" s="281"/>
      <c r="X237" s="281"/>
      <c r="Y237" s="281"/>
      <c r="Z237" s="281"/>
      <c r="AA237" s="281"/>
      <c r="AB237" s="281"/>
      <c r="AC237" s="281"/>
      <c r="AD237" s="281"/>
      <c r="AE237" s="281"/>
      <c r="AF237" s="281"/>
      <c r="AG237" s="281"/>
      <c r="AH237" s="281"/>
      <c r="AI237" s="281"/>
      <c r="AJ237" s="281"/>
      <c r="AK237" s="281"/>
      <c r="AL237" s="281"/>
      <c r="AM237" s="281"/>
      <c r="AN237" s="281"/>
      <c r="AO237" s="281"/>
      <c r="AP237" s="281"/>
      <c r="AQ237" s="281"/>
      <c r="AR237" s="281"/>
      <c r="AS237" s="281"/>
      <c r="AT237" s="281"/>
      <c r="AU237" s="281"/>
    </row>
    <row r="238" spans="1:47" ht="25" customHeight="1" x14ac:dyDescent="0.35">
      <c r="A238" s="330" t="s">
        <v>139</v>
      </c>
      <c r="B238" s="330"/>
      <c r="C238" s="330"/>
      <c r="D238" s="330"/>
      <c r="E238" s="330"/>
      <c r="F238" s="330"/>
      <c r="G238" s="330"/>
      <c r="H238" s="330"/>
      <c r="I238" s="330"/>
      <c r="J238" s="330"/>
      <c r="K238" s="341"/>
      <c r="L238" s="572"/>
      <c r="M238" s="572"/>
      <c r="N238" s="572"/>
      <c r="O238" s="572"/>
      <c r="P238" s="572"/>
      <c r="Q238" s="572"/>
      <c r="R238" s="572"/>
      <c r="S238" s="572"/>
      <c r="V238" s="281"/>
      <c r="W238" s="281"/>
      <c r="X238" s="281"/>
      <c r="Y238" s="281"/>
      <c r="Z238" s="281"/>
      <c r="AA238" s="281"/>
      <c r="AB238" s="281"/>
      <c r="AC238" s="281"/>
      <c r="AD238" s="281"/>
      <c r="AE238" s="281"/>
      <c r="AF238" s="281"/>
      <c r="AG238" s="281"/>
      <c r="AH238" s="281"/>
      <c r="AI238" s="281"/>
      <c r="AJ238" s="281"/>
      <c r="AK238" s="281"/>
      <c r="AL238" s="281"/>
      <c r="AM238" s="281"/>
      <c r="AN238" s="281"/>
      <c r="AO238" s="281"/>
      <c r="AP238" s="281"/>
      <c r="AQ238" s="281"/>
      <c r="AR238" s="281"/>
      <c r="AS238" s="281"/>
      <c r="AT238" s="281"/>
      <c r="AU238" s="281"/>
    </row>
    <row r="239" spans="1:47" ht="25" customHeight="1" x14ac:dyDescent="0.35">
      <c r="A239" s="330"/>
      <c r="B239" s="330"/>
      <c r="C239" s="330"/>
      <c r="D239" s="330"/>
      <c r="E239" s="330"/>
      <c r="F239" s="330"/>
      <c r="G239" s="330"/>
      <c r="H239" s="330"/>
      <c r="I239" s="330"/>
      <c r="J239" s="330"/>
      <c r="K239" s="341"/>
      <c r="L239" s="572"/>
      <c r="M239" s="572"/>
      <c r="N239" s="572"/>
      <c r="O239" s="572"/>
      <c r="P239" s="572"/>
      <c r="Q239" s="572"/>
      <c r="R239" s="572"/>
      <c r="S239" s="572"/>
      <c r="V239" s="281"/>
      <c r="W239" s="281"/>
      <c r="X239" s="281"/>
      <c r="Y239" s="281"/>
      <c r="Z239" s="281"/>
      <c r="AA239" s="281"/>
      <c r="AB239" s="281"/>
      <c r="AC239" s="281"/>
      <c r="AD239" s="281"/>
      <c r="AE239" s="281"/>
      <c r="AF239" s="281"/>
      <c r="AG239" s="281"/>
      <c r="AH239" s="281"/>
      <c r="AI239" s="281"/>
      <c r="AJ239" s="281"/>
      <c r="AK239" s="281"/>
      <c r="AL239" s="281"/>
      <c r="AM239" s="281"/>
      <c r="AN239" s="281"/>
      <c r="AO239" s="281"/>
      <c r="AP239" s="281"/>
      <c r="AQ239" s="281"/>
      <c r="AR239" s="281"/>
      <c r="AS239" s="281"/>
      <c r="AT239" s="281"/>
      <c r="AU239" s="281"/>
    </row>
    <row r="240" spans="1:47" ht="25" customHeight="1" x14ac:dyDescent="0.35">
      <c r="A240" s="330"/>
      <c r="B240" s="330"/>
      <c r="C240" s="330"/>
      <c r="D240" s="330"/>
      <c r="E240" s="330"/>
      <c r="F240" s="330"/>
      <c r="G240" s="330"/>
      <c r="H240" s="330"/>
      <c r="I240" s="330"/>
      <c r="J240" s="330"/>
      <c r="K240" s="341"/>
      <c r="L240" s="572"/>
      <c r="M240" s="572"/>
      <c r="N240" s="572"/>
      <c r="O240" s="572"/>
      <c r="P240" s="572"/>
      <c r="Q240" s="572"/>
      <c r="R240" s="572"/>
      <c r="S240" s="572"/>
      <c r="V240" s="281"/>
      <c r="W240" s="281"/>
      <c r="X240" s="281"/>
      <c r="Y240" s="281"/>
      <c r="Z240" s="281"/>
      <c r="AA240" s="281"/>
      <c r="AB240" s="281"/>
      <c r="AC240" s="281"/>
      <c r="AD240" s="281"/>
      <c r="AE240" s="281"/>
      <c r="AF240" s="281"/>
      <c r="AG240" s="281"/>
      <c r="AH240" s="281"/>
      <c r="AI240" s="281"/>
      <c r="AJ240" s="281"/>
      <c r="AK240" s="281"/>
      <c r="AL240" s="281"/>
      <c r="AM240" s="281"/>
      <c r="AN240" s="281"/>
      <c r="AO240" s="281"/>
      <c r="AP240" s="281"/>
      <c r="AQ240" s="281"/>
      <c r="AR240" s="281"/>
      <c r="AS240" s="281"/>
      <c r="AT240" s="281"/>
      <c r="AU240" s="281"/>
    </row>
    <row r="241" spans="1:47" ht="25" customHeight="1" x14ac:dyDescent="0.35">
      <c r="A241" s="330" t="s">
        <v>140</v>
      </c>
      <c r="B241" s="330"/>
      <c r="C241" s="330"/>
      <c r="D241" s="330"/>
      <c r="E241" s="330"/>
      <c r="F241" s="330"/>
      <c r="G241" s="330"/>
      <c r="H241" s="330"/>
      <c r="I241" s="330"/>
      <c r="J241" s="330"/>
      <c r="K241" s="341"/>
      <c r="L241" s="572"/>
      <c r="M241" s="572"/>
      <c r="N241" s="572"/>
      <c r="O241" s="572"/>
      <c r="P241" s="572"/>
      <c r="Q241" s="572"/>
      <c r="R241" s="572"/>
      <c r="S241" s="572"/>
      <c r="V241" s="281"/>
      <c r="W241" s="281"/>
      <c r="X241" s="281"/>
      <c r="Y241" s="281"/>
      <c r="Z241" s="281"/>
      <c r="AA241" s="281"/>
      <c r="AB241" s="281"/>
      <c r="AC241" s="281"/>
      <c r="AD241" s="281"/>
      <c r="AE241" s="281"/>
      <c r="AF241" s="281"/>
      <c r="AG241" s="281"/>
      <c r="AH241" s="281"/>
      <c r="AI241" s="281"/>
      <c r="AJ241" s="281"/>
      <c r="AK241" s="281"/>
      <c r="AL241" s="281"/>
      <c r="AM241" s="281"/>
      <c r="AN241" s="281"/>
      <c r="AO241" s="281"/>
      <c r="AP241" s="281"/>
      <c r="AQ241" s="281"/>
      <c r="AR241" s="281"/>
      <c r="AS241" s="281"/>
      <c r="AT241" s="281"/>
      <c r="AU241" s="281"/>
    </row>
    <row r="242" spans="1:47" ht="25" customHeight="1" x14ac:dyDescent="0.35">
      <c r="A242" s="330" t="s">
        <v>141</v>
      </c>
      <c r="B242" s="330"/>
      <c r="C242" s="330"/>
      <c r="D242" s="330"/>
      <c r="E242" s="330"/>
      <c r="F242" s="330"/>
      <c r="G242" s="330"/>
      <c r="H242" s="330"/>
      <c r="I242" s="330"/>
      <c r="J242" s="330"/>
      <c r="K242" s="341"/>
      <c r="L242" s="572"/>
      <c r="M242" s="572"/>
      <c r="N242" s="572"/>
      <c r="O242" s="572"/>
      <c r="P242" s="572"/>
      <c r="Q242" s="572"/>
      <c r="R242" s="572"/>
      <c r="S242" s="572"/>
      <c r="V242" s="281"/>
      <c r="W242" s="281"/>
      <c r="X242" s="281"/>
      <c r="Y242" s="281"/>
      <c r="Z242" s="281"/>
      <c r="AA242" s="281"/>
      <c r="AB242" s="281"/>
      <c r="AC242" s="281"/>
      <c r="AD242" s="281"/>
      <c r="AE242" s="281"/>
      <c r="AF242" s="281"/>
      <c r="AG242" s="281"/>
      <c r="AH242" s="281"/>
      <c r="AI242" s="281"/>
      <c r="AJ242" s="281"/>
      <c r="AK242" s="281"/>
      <c r="AL242" s="281"/>
      <c r="AM242" s="281"/>
      <c r="AN242" s="281"/>
      <c r="AO242" s="281"/>
      <c r="AP242" s="281"/>
      <c r="AQ242" s="281"/>
      <c r="AR242" s="281"/>
      <c r="AS242" s="281"/>
      <c r="AT242" s="281"/>
      <c r="AU242" s="281"/>
    </row>
    <row r="243" spans="1:47" ht="25" customHeight="1" x14ac:dyDescent="0.35">
      <c r="A243" s="330" t="s">
        <v>142</v>
      </c>
      <c r="B243" s="330"/>
      <c r="C243" s="330"/>
      <c r="D243" s="330"/>
      <c r="E243" s="330"/>
      <c r="F243" s="330"/>
      <c r="G243" s="330"/>
      <c r="H243" s="330"/>
      <c r="I243" s="330"/>
      <c r="J243" s="330"/>
      <c r="K243" s="341"/>
      <c r="L243" s="572"/>
      <c r="M243" s="572"/>
      <c r="N243" s="572"/>
      <c r="O243" s="572"/>
      <c r="P243" s="572"/>
      <c r="Q243" s="572"/>
      <c r="R243" s="572"/>
      <c r="S243" s="572"/>
      <c r="V243" s="281"/>
      <c r="W243" s="281"/>
      <c r="X243" s="281"/>
      <c r="Y243" s="281"/>
      <c r="Z243" s="281"/>
      <c r="AA243" s="281"/>
      <c r="AB243" s="281"/>
      <c r="AC243" s="281"/>
      <c r="AD243" s="281"/>
      <c r="AE243" s="281"/>
      <c r="AF243" s="281"/>
      <c r="AG243" s="281"/>
      <c r="AH243" s="281"/>
      <c r="AI243" s="281"/>
      <c r="AJ243" s="281"/>
      <c r="AK243" s="281"/>
      <c r="AL243" s="281"/>
      <c r="AM243" s="281"/>
      <c r="AN243" s="281"/>
      <c r="AO243" s="281"/>
      <c r="AP243" s="281"/>
      <c r="AQ243" s="281"/>
      <c r="AR243" s="281"/>
      <c r="AS243" s="281"/>
      <c r="AT243" s="281"/>
      <c r="AU243" s="281"/>
    </row>
    <row r="244" spans="1:47" ht="25" customHeight="1" x14ac:dyDescent="0.35">
      <c r="A244" s="330" t="s">
        <v>143</v>
      </c>
      <c r="B244" s="330"/>
      <c r="C244" s="330"/>
      <c r="D244" s="330"/>
      <c r="E244" s="330"/>
      <c r="F244" s="330"/>
      <c r="G244" s="330"/>
      <c r="H244" s="330"/>
      <c r="I244" s="330"/>
      <c r="J244" s="330"/>
      <c r="K244" s="341"/>
      <c r="L244" s="572"/>
      <c r="M244" s="572"/>
      <c r="N244" s="572"/>
      <c r="O244" s="572"/>
      <c r="P244" s="572"/>
      <c r="Q244" s="572"/>
      <c r="R244" s="572"/>
      <c r="S244" s="572"/>
      <c r="V244" s="281"/>
      <c r="W244" s="281"/>
      <c r="X244" s="281"/>
      <c r="Y244" s="281"/>
      <c r="Z244" s="281"/>
      <c r="AA244" s="281"/>
      <c r="AB244" s="281"/>
      <c r="AC244" s="281"/>
      <c r="AD244" s="281"/>
      <c r="AE244" s="281"/>
      <c r="AF244" s="281"/>
      <c r="AG244" s="281"/>
      <c r="AH244" s="281"/>
      <c r="AI244" s="281"/>
      <c r="AJ244" s="281"/>
      <c r="AK244" s="281"/>
      <c r="AL244" s="281"/>
      <c r="AM244" s="281"/>
      <c r="AN244" s="281"/>
      <c r="AO244" s="281"/>
      <c r="AP244" s="281"/>
      <c r="AQ244" s="281"/>
      <c r="AR244" s="281"/>
      <c r="AS244" s="281"/>
      <c r="AT244" s="281"/>
      <c r="AU244" s="281"/>
    </row>
    <row r="245" spans="1:47" ht="25" customHeight="1" x14ac:dyDescent="0.35">
      <c r="A245" s="330"/>
      <c r="B245" s="330"/>
      <c r="C245" s="330"/>
      <c r="D245" s="330"/>
      <c r="E245" s="330"/>
      <c r="F245" s="330"/>
      <c r="G245" s="330"/>
      <c r="H245" s="330"/>
      <c r="I245" s="330"/>
      <c r="J245" s="330"/>
      <c r="K245" s="341"/>
      <c r="L245" s="572"/>
      <c r="M245" s="572"/>
      <c r="N245" s="572"/>
      <c r="O245" s="572"/>
      <c r="P245" s="572"/>
      <c r="Q245" s="572"/>
      <c r="R245" s="572"/>
      <c r="S245" s="572"/>
      <c r="V245" s="281"/>
      <c r="W245" s="281"/>
      <c r="X245" s="281"/>
      <c r="Y245" s="281"/>
      <c r="Z245" s="281"/>
      <c r="AA245" s="281"/>
      <c r="AB245" s="281"/>
      <c r="AC245" s="281"/>
      <c r="AD245" s="281"/>
      <c r="AE245" s="281"/>
      <c r="AF245" s="281"/>
      <c r="AG245" s="281"/>
      <c r="AH245" s="281"/>
      <c r="AI245" s="281"/>
      <c r="AJ245" s="281"/>
      <c r="AK245" s="281"/>
      <c r="AL245" s="281"/>
      <c r="AM245" s="281"/>
      <c r="AN245" s="281"/>
      <c r="AO245" s="281"/>
      <c r="AP245" s="281"/>
      <c r="AQ245" s="281"/>
      <c r="AR245" s="281"/>
      <c r="AS245" s="281"/>
      <c r="AT245" s="281"/>
      <c r="AU245" s="281"/>
    </row>
    <row r="246" spans="1:47" ht="25" customHeight="1" x14ac:dyDescent="0.35">
      <c r="A246" s="330" t="s">
        <v>144</v>
      </c>
      <c r="B246" s="330"/>
      <c r="C246" s="330"/>
      <c r="D246" s="330"/>
      <c r="E246" s="330"/>
      <c r="F246" s="330"/>
      <c r="G246" s="330"/>
      <c r="H246" s="330"/>
      <c r="I246" s="330"/>
      <c r="J246" s="330"/>
      <c r="K246" s="341"/>
      <c r="L246" s="572"/>
      <c r="M246" s="572"/>
      <c r="N246" s="572"/>
      <c r="O246" s="572"/>
      <c r="P246" s="572"/>
      <c r="Q246" s="572"/>
      <c r="R246" s="572"/>
      <c r="S246" s="572"/>
      <c r="V246" s="281"/>
      <c r="W246" s="281"/>
      <c r="X246" s="281"/>
      <c r="Y246" s="281"/>
      <c r="Z246" s="281"/>
      <c r="AA246" s="281"/>
      <c r="AB246" s="281"/>
      <c r="AC246" s="281"/>
      <c r="AD246" s="281"/>
      <c r="AE246" s="281"/>
      <c r="AF246" s="281"/>
      <c r="AG246" s="281"/>
      <c r="AH246" s="281"/>
      <c r="AI246" s="281"/>
      <c r="AJ246" s="281"/>
      <c r="AK246" s="281"/>
      <c r="AL246" s="281"/>
      <c r="AM246" s="281"/>
      <c r="AN246" s="281"/>
      <c r="AO246" s="281"/>
      <c r="AP246" s="281"/>
      <c r="AQ246" s="281"/>
      <c r="AR246" s="281"/>
      <c r="AS246" s="281"/>
      <c r="AT246" s="281"/>
      <c r="AU246" s="281"/>
    </row>
    <row r="247" spans="1:47" ht="25" customHeight="1" x14ac:dyDescent="0.35">
      <c r="A247" s="330" t="s">
        <v>145</v>
      </c>
      <c r="B247" s="330"/>
      <c r="C247" s="330"/>
      <c r="D247" s="330"/>
      <c r="E247" s="330"/>
      <c r="F247" s="330"/>
      <c r="G247" s="330"/>
      <c r="H247" s="330"/>
      <c r="I247" s="330"/>
      <c r="J247" s="330"/>
      <c r="K247" s="341"/>
      <c r="L247" s="572"/>
      <c r="M247" s="572"/>
      <c r="N247" s="572"/>
      <c r="O247" s="572"/>
      <c r="P247" s="572"/>
      <c r="Q247" s="572"/>
      <c r="R247" s="572"/>
      <c r="S247" s="572"/>
      <c r="V247" s="281"/>
      <c r="W247" s="281"/>
      <c r="X247" s="281"/>
      <c r="Y247" s="281"/>
      <c r="Z247" s="281"/>
      <c r="AA247" s="281"/>
      <c r="AB247" s="281"/>
      <c r="AC247" s="281"/>
      <c r="AD247" s="281"/>
      <c r="AE247" s="281"/>
      <c r="AF247" s="281"/>
      <c r="AG247" s="281"/>
      <c r="AH247" s="281"/>
      <c r="AI247" s="281"/>
      <c r="AJ247" s="281"/>
      <c r="AK247" s="281"/>
      <c r="AL247" s="281"/>
      <c r="AM247" s="281"/>
      <c r="AN247" s="281"/>
      <c r="AO247" s="281"/>
      <c r="AP247" s="281"/>
      <c r="AQ247" s="281"/>
      <c r="AR247" s="281"/>
      <c r="AS247" s="281"/>
      <c r="AT247" s="281"/>
      <c r="AU247" s="281"/>
    </row>
    <row r="248" spans="1:47" ht="25" customHeight="1" x14ac:dyDescent="0.35">
      <c r="A248" s="330" t="s">
        <v>146</v>
      </c>
      <c r="B248" s="330"/>
      <c r="C248" s="330"/>
      <c r="D248" s="330"/>
      <c r="E248" s="330"/>
      <c r="F248" s="330"/>
      <c r="G248" s="330"/>
      <c r="H248" s="330"/>
      <c r="I248" s="330"/>
      <c r="J248" s="330"/>
      <c r="K248" s="341"/>
      <c r="L248" s="572"/>
      <c r="M248" s="572"/>
      <c r="N248" s="572"/>
      <c r="O248" s="572"/>
      <c r="P248" s="572"/>
      <c r="Q248" s="572"/>
      <c r="R248" s="572"/>
      <c r="S248" s="572"/>
      <c r="V248" s="281"/>
      <c r="W248" s="281"/>
      <c r="X248" s="281"/>
      <c r="Y248" s="281"/>
      <c r="Z248" s="281"/>
      <c r="AA248" s="281"/>
      <c r="AB248" s="281"/>
      <c r="AC248" s="281"/>
      <c r="AD248" s="281"/>
      <c r="AE248" s="281"/>
      <c r="AF248" s="281"/>
      <c r="AG248" s="281"/>
      <c r="AH248" s="281"/>
      <c r="AI248" s="281"/>
      <c r="AJ248" s="281"/>
      <c r="AK248" s="281"/>
      <c r="AL248" s="281"/>
      <c r="AM248" s="281"/>
      <c r="AN248" s="281"/>
      <c r="AO248" s="281"/>
      <c r="AP248" s="281"/>
      <c r="AQ248" s="281"/>
      <c r="AR248" s="281"/>
      <c r="AS248" s="281"/>
      <c r="AT248" s="281"/>
      <c r="AU248" s="281"/>
    </row>
    <row r="249" spans="1:47" ht="25" customHeight="1" x14ac:dyDescent="0.35">
      <c r="A249" s="330" t="s">
        <v>147</v>
      </c>
      <c r="B249" s="330"/>
      <c r="C249" s="330"/>
      <c r="D249" s="330"/>
      <c r="E249" s="330"/>
      <c r="F249" s="330"/>
      <c r="G249" s="330"/>
      <c r="H249" s="330"/>
      <c r="I249" s="330"/>
      <c r="J249" s="330"/>
      <c r="K249" s="341"/>
      <c r="L249" s="572"/>
      <c r="M249" s="572"/>
      <c r="N249" s="572"/>
      <c r="O249" s="572"/>
      <c r="P249" s="572"/>
      <c r="Q249" s="572"/>
      <c r="R249" s="572"/>
      <c r="S249" s="572"/>
      <c r="V249" s="281"/>
      <c r="W249" s="281"/>
      <c r="X249" s="281"/>
      <c r="Y249" s="281"/>
      <c r="Z249" s="281"/>
      <c r="AA249" s="281"/>
      <c r="AB249" s="281"/>
      <c r="AC249" s="281"/>
      <c r="AD249" s="281"/>
      <c r="AE249" s="281"/>
      <c r="AF249" s="281"/>
      <c r="AG249" s="281"/>
      <c r="AH249" s="281"/>
      <c r="AI249" s="281"/>
      <c r="AJ249" s="281"/>
      <c r="AK249" s="281"/>
      <c r="AL249" s="281"/>
      <c r="AM249" s="281"/>
      <c r="AN249" s="281"/>
      <c r="AO249" s="281"/>
      <c r="AP249" s="281"/>
      <c r="AQ249" s="281"/>
      <c r="AR249" s="281"/>
      <c r="AS249" s="281"/>
      <c r="AT249" s="281"/>
      <c r="AU249" s="281"/>
    </row>
    <row r="250" spans="1:47" ht="25" customHeight="1" x14ac:dyDescent="0.35">
      <c r="A250" s="330" t="s">
        <v>148</v>
      </c>
      <c r="B250" s="330"/>
      <c r="C250" s="330"/>
      <c r="D250" s="330"/>
      <c r="E250" s="330"/>
      <c r="F250" s="330"/>
      <c r="G250" s="330"/>
      <c r="H250" s="330"/>
      <c r="I250" s="330"/>
      <c r="J250" s="330"/>
      <c r="K250" s="341"/>
      <c r="L250" s="572"/>
      <c r="M250" s="572"/>
      <c r="N250" s="572"/>
      <c r="O250" s="572"/>
      <c r="P250" s="572"/>
      <c r="Q250" s="572"/>
      <c r="R250" s="572"/>
      <c r="S250" s="572"/>
      <c r="V250" s="281"/>
      <c r="W250" s="281"/>
      <c r="X250" s="281"/>
      <c r="Y250" s="281"/>
      <c r="Z250" s="281"/>
      <c r="AA250" s="281"/>
      <c r="AB250" s="281"/>
      <c r="AC250" s="281"/>
      <c r="AD250" s="281"/>
      <c r="AE250" s="281"/>
      <c r="AF250" s="281"/>
      <c r="AG250" s="281"/>
      <c r="AH250" s="281"/>
      <c r="AI250" s="281"/>
      <c r="AJ250" s="281"/>
      <c r="AK250" s="281"/>
      <c r="AL250" s="281"/>
      <c r="AM250" s="281"/>
      <c r="AN250" s="281"/>
      <c r="AO250" s="281"/>
      <c r="AP250" s="281"/>
      <c r="AQ250" s="281"/>
      <c r="AR250" s="281"/>
      <c r="AS250" s="281"/>
      <c r="AT250" s="281"/>
      <c r="AU250" s="281"/>
    </row>
    <row r="251" spans="1:47" ht="25" customHeight="1" x14ac:dyDescent="0.35">
      <c r="A251" s="330" t="s">
        <v>149</v>
      </c>
      <c r="B251" s="330"/>
      <c r="C251" s="330"/>
      <c r="D251" s="330"/>
      <c r="E251" s="330"/>
      <c r="F251" s="330"/>
      <c r="G251" s="330"/>
      <c r="H251" s="330"/>
      <c r="I251" s="330"/>
      <c r="J251" s="330"/>
      <c r="K251" s="341"/>
      <c r="L251" s="572"/>
      <c r="M251" s="572"/>
      <c r="N251" s="572"/>
      <c r="O251" s="572"/>
      <c r="P251" s="572"/>
      <c r="Q251" s="572"/>
      <c r="R251" s="572"/>
      <c r="S251" s="572"/>
      <c r="V251" s="281"/>
      <c r="W251" s="281"/>
      <c r="X251" s="281"/>
      <c r="Y251" s="281"/>
      <c r="Z251" s="281"/>
      <c r="AA251" s="281"/>
      <c r="AB251" s="281"/>
      <c r="AC251" s="281"/>
      <c r="AD251" s="281"/>
      <c r="AE251" s="281"/>
      <c r="AF251" s="281"/>
      <c r="AG251" s="281"/>
      <c r="AH251" s="281"/>
      <c r="AI251" s="281"/>
      <c r="AJ251" s="281"/>
      <c r="AK251" s="281"/>
      <c r="AL251" s="281"/>
      <c r="AM251" s="281"/>
      <c r="AN251" s="281"/>
      <c r="AO251" s="281"/>
      <c r="AP251" s="281"/>
      <c r="AQ251" s="281"/>
      <c r="AR251" s="281"/>
      <c r="AS251" s="281"/>
      <c r="AT251" s="281"/>
      <c r="AU251" s="281"/>
    </row>
    <row r="252" spans="1:47" ht="25" customHeight="1" x14ac:dyDescent="0.35">
      <c r="A252" s="330" t="s">
        <v>150</v>
      </c>
      <c r="B252" s="330"/>
      <c r="C252" s="330"/>
      <c r="D252" s="330"/>
      <c r="E252" s="330"/>
      <c r="F252" s="330"/>
      <c r="G252" s="330"/>
      <c r="H252" s="330"/>
      <c r="I252" s="330"/>
      <c r="J252" s="330"/>
      <c r="K252" s="341"/>
      <c r="L252" s="572"/>
      <c r="M252" s="572"/>
      <c r="N252" s="572"/>
      <c r="O252" s="572"/>
      <c r="P252" s="572"/>
      <c r="Q252" s="572"/>
      <c r="R252" s="572"/>
      <c r="S252" s="572"/>
      <c r="V252" s="281"/>
      <c r="W252" s="281"/>
      <c r="X252" s="281"/>
      <c r="Y252" s="281"/>
      <c r="Z252" s="281"/>
      <c r="AA252" s="281"/>
      <c r="AB252" s="281"/>
      <c r="AC252" s="281"/>
      <c r="AD252" s="281"/>
      <c r="AE252" s="281"/>
      <c r="AF252" s="281"/>
      <c r="AG252" s="281"/>
      <c r="AH252" s="281"/>
      <c r="AI252" s="281"/>
      <c r="AJ252" s="281"/>
      <c r="AK252" s="281"/>
      <c r="AL252" s="281"/>
      <c r="AM252" s="281"/>
      <c r="AN252" s="281"/>
      <c r="AO252" s="281"/>
      <c r="AP252" s="281"/>
      <c r="AQ252" s="281"/>
      <c r="AR252" s="281"/>
      <c r="AS252" s="281"/>
      <c r="AT252" s="281"/>
      <c r="AU252" s="281"/>
    </row>
    <row r="253" spans="1:47" ht="25" customHeight="1" x14ac:dyDescent="0.35">
      <c r="A253" s="330" t="s">
        <v>151</v>
      </c>
      <c r="B253" s="330"/>
      <c r="C253" s="330"/>
      <c r="D253" s="330"/>
      <c r="E253" s="330"/>
      <c r="F253" s="330"/>
      <c r="G253" s="330"/>
      <c r="H253" s="330"/>
      <c r="I253" s="330"/>
      <c r="J253" s="330"/>
      <c r="K253" s="341"/>
      <c r="L253" s="572"/>
      <c r="M253" s="572"/>
      <c r="N253" s="572"/>
      <c r="O253" s="572"/>
      <c r="P253" s="572"/>
      <c r="Q253" s="572"/>
      <c r="R253" s="572"/>
      <c r="S253" s="572"/>
      <c r="V253" s="281"/>
      <c r="W253" s="281"/>
      <c r="X253" s="281"/>
      <c r="Y253" s="281"/>
      <c r="Z253" s="281"/>
      <c r="AA253" s="281"/>
      <c r="AB253" s="281"/>
      <c r="AC253" s="281"/>
      <c r="AD253" s="281"/>
      <c r="AE253" s="281"/>
      <c r="AF253" s="281"/>
      <c r="AG253" s="281"/>
      <c r="AH253" s="281"/>
      <c r="AI253" s="281"/>
      <c r="AJ253" s="281"/>
      <c r="AK253" s="281"/>
      <c r="AL253" s="281"/>
      <c r="AM253" s="281"/>
      <c r="AN253" s="281"/>
      <c r="AO253" s="281"/>
      <c r="AP253" s="281"/>
      <c r="AQ253" s="281"/>
      <c r="AR253" s="281"/>
      <c r="AS253" s="281"/>
      <c r="AT253" s="281"/>
      <c r="AU253" s="281"/>
    </row>
    <row r="254" spans="1:47" ht="25" customHeight="1" x14ac:dyDescent="0.35">
      <c r="A254" s="330" t="s">
        <v>152</v>
      </c>
      <c r="B254" s="330"/>
      <c r="C254" s="330"/>
      <c r="D254" s="330"/>
      <c r="E254" s="330"/>
      <c r="F254" s="330"/>
      <c r="G254" s="330"/>
      <c r="H254" s="330"/>
      <c r="I254" s="330"/>
      <c r="J254" s="330"/>
      <c r="K254" s="341"/>
      <c r="L254" s="572"/>
      <c r="M254" s="572"/>
      <c r="N254" s="572"/>
      <c r="O254" s="572"/>
      <c r="P254" s="572"/>
      <c r="Q254" s="572"/>
      <c r="R254" s="572"/>
      <c r="S254" s="572"/>
      <c r="V254" s="281"/>
      <c r="W254" s="281"/>
      <c r="X254" s="281"/>
      <c r="Y254" s="281"/>
      <c r="Z254" s="281"/>
      <c r="AA254" s="281"/>
      <c r="AB254" s="281"/>
      <c r="AC254" s="281"/>
      <c r="AD254" s="281"/>
      <c r="AE254" s="281"/>
      <c r="AF254" s="281"/>
      <c r="AG254" s="281"/>
      <c r="AH254" s="281"/>
      <c r="AI254" s="281"/>
      <c r="AJ254" s="281"/>
      <c r="AK254" s="281"/>
      <c r="AL254" s="281"/>
      <c r="AM254" s="281"/>
      <c r="AN254" s="281"/>
      <c r="AO254" s="281"/>
      <c r="AP254" s="281"/>
      <c r="AQ254" s="281"/>
      <c r="AR254" s="281"/>
      <c r="AS254" s="281"/>
      <c r="AT254" s="281"/>
      <c r="AU254" s="281"/>
    </row>
    <row r="255" spans="1:47" ht="25" customHeight="1" x14ac:dyDescent="0.35">
      <c r="A255" s="330" t="s">
        <v>153</v>
      </c>
      <c r="B255" s="330"/>
      <c r="C255" s="330"/>
      <c r="D255" s="330"/>
      <c r="E255" s="330"/>
      <c r="F255" s="330"/>
      <c r="G255" s="330"/>
      <c r="H255" s="330"/>
      <c r="I255" s="330"/>
      <c r="J255" s="330"/>
      <c r="K255" s="341"/>
      <c r="L255" s="572"/>
      <c r="M255" s="572"/>
      <c r="N255" s="572"/>
      <c r="O255" s="572"/>
      <c r="P255" s="572"/>
      <c r="Q255" s="572"/>
      <c r="R255" s="572"/>
      <c r="S255" s="572"/>
      <c r="V255" s="281"/>
      <c r="W255" s="281"/>
      <c r="X255" s="281"/>
      <c r="Y255" s="281"/>
      <c r="Z255" s="281"/>
      <c r="AA255" s="281"/>
      <c r="AB255" s="281"/>
      <c r="AC255" s="281"/>
      <c r="AD255" s="281"/>
      <c r="AE255" s="281"/>
      <c r="AF255" s="281"/>
      <c r="AG255" s="281"/>
      <c r="AH255" s="281"/>
      <c r="AI255" s="281"/>
      <c r="AJ255" s="281"/>
      <c r="AK255" s="281"/>
      <c r="AL255" s="281"/>
      <c r="AM255" s="281"/>
      <c r="AN255" s="281"/>
      <c r="AO255" s="281"/>
      <c r="AP255" s="281"/>
      <c r="AQ255" s="281"/>
      <c r="AR255" s="281"/>
      <c r="AS255" s="281"/>
      <c r="AT255" s="281"/>
      <c r="AU255" s="281"/>
    </row>
    <row r="256" spans="1:47" ht="25" customHeight="1" x14ac:dyDescent="0.35">
      <c r="A256" s="330" t="s">
        <v>146</v>
      </c>
      <c r="B256" s="330"/>
      <c r="C256" s="330"/>
      <c r="D256" s="330"/>
      <c r="E256" s="330"/>
      <c r="F256" s="330"/>
      <c r="G256" s="330"/>
      <c r="H256" s="330"/>
      <c r="I256" s="330"/>
      <c r="J256" s="330"/>
      <c r="K256" s="341"/>
      <c r="L256" s="572"/>
      <c r="M256" s="572"/>
      <c r="N256" s="572"/>
      <c r="O256" s="572"/>
      <c r="P256" s="572"/>
      <c r="Q256" s="572"/>
      <c r="R256" s="572"/>
      <c r="S256" s="572"/>
      <c r="V256" s="281"/>
      <c r="W256" s="281"/>
      <c r="X256" s="281"/>
      <c r="Y256" s="281"/>
      <c r="Z256" s="281"/>
      <c r="AA256" s="281"/>
      <c r="AB256" s="281"/>
      <c r="AC256" s="281"/>
      <c r="AD256" s="281"/>
      <c r="AE256" s="281"/>
      <c r="AF256" s="281"/>
      <c r="AG256" s="281"/>
      <c r="AH256" s="281"/>
      <c r="AI256" s="281"/>
      <c r="AJ256" s="281"/>
      <c r="AK256" s="281"/>
      <c r="AL256" s="281"/>
      <c r="AM256" s="281"/>
      <c r="AN256" s="281"/>
      <c r="AO256" s="281"/>
      <c r="AP256" s="281"/>
      <c r="AQ256" s="281"/>
      <c r="AR256" s="281"/>
      <c r="AS256" s="281"/>
      <c r="AT256" s="281"/>
      <c r="AU256" s="281"/>
    </row>
    <row r="257" spans="1:47" ht="25" customHeight="1" x14ac:dyDescent="0.35">
      <c r="A257" s="330" t="s">
        <v>154</v>
      </c>
      <c r="B257" s="330"/>
      <c r="C257" s="330"/>
      <c r="D257" s="330"/>
      <c r="E257" s="330"/>
      <c r="F257" s="330"/>
      <c r="G257" s="330"/>
      <c r="H257" s="330"/>
      <c r="I257" s="330"/>
      <c r="J257" s="330"/>
      <c r="K257" s="341"/>
      <c r="L257" s="572"/>
      <c r="M257" s="572"/>
      <c r="N257" s="572"/>
      <c r="O257" s="572"/>
      <c r="P257" s="572"/>
      <c r="Q257" s="572"/>
      <c r="R257" s="572"/>
      <c r="S257" s="572"/>
      <c r="V257" s="281"/>
      <c r="W257" s="281"/>
      <c r="X257" s="281"/>
      <c r="Y257" s="281"/>
      <c r="Z257" s="281"/>
      <c r="AA257" s="281"/>
      <c r="AB257" s="281"/>
      <c r="AC257" s="281"/>
      <c r="AD257" s="281"/>
      <c r="AE257" s="281"/>
      <c r="AF257" s="281"/>
      <c r="AG257" s="281"/>
      <c r="AH257" s="281"/>
      <c r="AI257" s="281"/>
      <c r="AJ257" s="281"/>
      <c r="AK257" s="281"/>
      <c r="AL257" s="281"/>
      <c r="AM257" s="281"/>
      <c r="AN257" s="281"/>
      <c r="AO257" s="281"/>
      <c r="AP257" s="281"/>
      <c r="AQ257" s="281"/>
      <c r="AR257" s="281"/>
      <c r="AS257" s="281"/>
      <c r="AT257" s="281"/>
      <c r="AU257" s="281"/>
    </row>
    <row r="258" spans="1:47" ht="25" customHeight="1" x14ac:dyDescent="0.35">
      <c r="A258" s="330" t="s">
        <v>155</v>
      </c>
      <c r="B258" s="330"/>
      <c r="C258" s="330"/>
      <c r="D258" s="330"/>
      <c r="E258" s="330"/>
      <c r="F258" s="330"/>
      <c r="G258" s="330"/>
      <c r="H258" s="330"/>
      <c r="I258" s="330"/>
      <c r="J258" s="330"/>
      <c r="K258" s="341"/>
      <c r="L258" s="572"/>
      <c r="M258" s="572"/>
      <c r="N258" s="572"/>
      <c r="O258" s="572"/>
      <c r="P258" s="572"/>
      <c r="Q258" s="572"/>
      <c r="R258" s="572"/>
      <c r="S258" s="572"/>
      <c r="V258" s="281"/>
      <c r="W258" s="281"/>
      <c r="X258" s="281"/>
      <c r="Y258" s="281"/>
      <c r="Z258" s="281"/>
      <c r="AA258" s="281"/>
      <c r="AB258" s="281"/>
      <c r="AC258" s="281"/>
      <c r="AD258" s="281"/>
      <c r="AE258" s="281"/>
      <c r="AF258" s="281"/>
      <c r="AG258" s="281"/>
      <c r="AH258" s="281"/>
      <c r="AI258" s="281"/>
      <c r="AJ258" s="281"/>
      <c r="AK258" s="281"/>
      <c r="AL258" s="281"/>
      <c r="AM258" s="281"/>
      <c r="AN258" s="281"/>
      <c r="AO258" s="281"/>
      <c r="AP258" s="281"/>
      <c r="AQ258" s="281"/>
      <c r="AR258" s="281"/>
      <c r="AS258" s="281"/>
      <c r="AT258" s="281"/>
      <c r="AU258" s="281"/>
    </row>
    <row r="259" spans="1:47" ht="25" customHeight="1" x14ac:dyDescent="0.35">
      <c r="A259" s="330" t="s">
        <v>156</v>
      </c>
      <c r="B259" s="330"/>
      <c r="C259" s="330"/>
      <c r="D259" s="330"/>
      <c r="E259" s="330"/>
      <c r="F259" s="330"/>
      <c r="G259" s="330"/>
      <c r="H259" s="330"/>
      <c r="I259" s="330"/>
      <c r="J259" s="330"/>
      <c r="K259" s="341"/>
      <c r="L259" s="572"/>
      <c r="M259" s="572"/>
      <c r="N259" s="572"/>
      <c r="O259" s="572"/>
      <c r="P259" s="572"/>
      <c r="Q259" s="572"/>
      <c r="R259" s="572"/>
      <c r="S259" s="572"/>
      <c r="V259" s="281"/>
      <c r="W259" s="281"/>
      <c r="X259" s="281"/>
      <c r="Y259" s="281"/>
      <c r="Z259" s="281"/>
      <c r="AA259" s="281"/>
      <c r="AB259" s="281"/>
      <c r="AC259" s="281"/>
      <c r="AD259" s="281"/>
      <c r="AE259" s="281"/>
      <c r="AF259" s="281"/>
      <c r="AG259" s="281"/>
      <c r="AH259" s="281"/>
      <c r="AI259" s="281"/>
      <c r="AJ259" s="281"/>
      <c r="AK259" s="281"/>
      <c r="AL259" s="281"/>
      <c r="AM259" s="281"/>
      <c r="AN259" s="281"/>
      <c r="AO259" s="281"/>
      <c r="AP259" s="281"/>
      <c r="AQ259" s="281"/>
      <c r="AR259" s="281"/>
      <c r="AS259" s="281"/>
      <c r="AT259" s="281"/>
      <c r="AU259" s="281"/>
    </row>
    <row r="260" spans="1:47" ht="25" customHeight="1" x14ac:dyDescent="0.35">
      <c r="A260" s="330" t="s">
        <v>147</v>
      </c>
      <c r="B260" s="330"/>
      <c r="C260" s="330"/>
      <c r="D260" s="330"/>
      <c r="E260" s="330"/>
      <c r="F260" s="330"/>
      <c r="G260" s="330"/>
      <c r="H260" s="330"/>
      <c r="I260" s="330"/>
      <c r="J260" s="330"/>
      <c r="K260" s="341"/>
      <c r="L260" s="572"/>
      <c r="M260" s="572"/>
      <c r="N260" s="572"/>
      <c r="O260" s="572"/>
      <c r="P260" s="572"/>
      <c r="Q260" s="572"/>
      <c r="R260" s="572"/>
      <c r="S260" s="572"/>
      <c r="V260" s="281"/>
      <c r="W260" s="281"/>
      <c r="X260" s="281"/>
      <c r="Y260" s="281"/>
      <c r="Z260" s="281"/>
      <c r="AA260" s="281"/>
      <c r="AB260" s="281"/>
      <c r="AC260" s="281"/>
      <c r="AD260" s="281"/>
      <c r="AE260" s="281"/>
      <c r="AF260" s="281"/>
      <c r="AG260" s="281"/>
      <c r="AH260" s="281"/>
      <c r="AI260" s="281"/>
      <c r="AJ260" s="281"/>
      <c r="AK260" s="281"/>
      <c r="AL260" s="281"/>
      <c r="AM260" s="281"/>
      <c r="AN260" s="281"/>
      <c r="AO260" s="281"/>
      <c r="AP260" s="281"/>
      <c r="AQ260" s="281"/>
      <c r="AR260" s="281"/>
      <c r="AS260" s="281"/>
      <c r="AT260" s="281"/>
      <c r="AU260" s="281"/>
    </row>
    <row r="261" spans="1:47" ht="25" customHeight="1" x14ac:dyDescent="0.35">
      <c r="A261" s="330" t="s">
        <v>157</v>
      </c>
      <c r="B261" s="330"/>
      <c r="C261" s="330"/>
      <c r="D261" s="330"/>
      <c r="E261" s="330"/>
      <c r="F261" s="330"/>
      <c r="G261" s="330"/>
      <c r="H261" s="330"/>
      <c r="I261" s="330"/>
      <c r="J261" s="330"/>
      <c r="K261" s="341"/>
      <c r="L261" s="572"/>
      <c r="M261" s="572"/>
      <c r="N261" s="572"/>
      <c r="O261" s="572"/>
      <c r="P261" s="572"/>
      <c r="Q261" s="572"/>
      <c r="R261" s="572"/>
      <c r="S261" s="572"/>
      <c r="V261" s="281"/>
      <c r="W261" s="281"/>
      <c r="X261" s="281"/>
      <c r="Y261" s="281"/>
      <c r="Z261" s="281"/>
      <c r="AA261" s="281"/>
      <c r="AB261" s="281"/>
      <c r="AC261" s="281"/>
      <c r="AD261" s="281"/>
      <c r="AE261" s="281"/>
      <c r="AF261" s="281"/>
      <c r="AG261" s="281"/>
      <c r="AH261" s="281"/>
      <c r="AI261" s="281"/>
      <c r="AJ261" s="281"/>
      <c r="AK261" s="281"/>
      <c r="AL261" s="281"/>
      <c r="AM261" s="281"/>
      <c r="AN261" s="281"/>
      <c r="AO261" s="281"/>
      <c r="AP261" s="281"/>
      <c r="AQ261" s="281"/>
      <c r="AR261" s="281"/>
      <c r="AS261" s="281"/>
      <c r="AT261" s="281"/>
      <c r="AU261" s="281"/>
    </row>
    <row r="262" spans="1:47" ht="25" customHeight="1" x14ac:dyDescent="0.35">
      <c r="A262" s="330" t="s">
        <v>158</v>
      </c>
      <c r="B262" s="330"/>
      <c r="C262" s="330"/>
      <c r="D262" s="330"/>
      <c r="E262" s="330"/>
      <c r="F262" s="330"/>
      <c r="G262" s="330"/>
      <c r="H262" s="330"/>
      <c r="I262" s="330"/>
      <c r="J262" s="330"/>
      <c r="K262" s="341"/>
      <c r="L262" s="572"/>
      <c r="M262" s="572"/>
      <c r="N262" s="572"/>
      <c r="O262" s="572"/>
      <c r="P262" s="572"/>
      <c r="Q262" s="572"/>
      <c r="R262" s="572"/>
      <c r="S262" s="572"/>
      <c r="V262" s="281"/>
      <c r="W262" s="281"/>
      <c r="X262" s="281"/>
      <c r="Y262" s="281"/>
      <c r="Z262" s="281"/>
      <c r="AA262" s="281"/>
      <c r="AB262" s="281"/>
      <c r="AC262" s="281"/>
      <c r="AD262" s="281"/>
      <c r="AE262" s="281"/>
      <c r="AF262" s="281"/>
      <c r="AG262" s="281"/>
      <c r="AH262" s="281"/>
      <c r="AI262" s="281"/>
      <c r="AJ262" s="281"/>
      <c r="AK262" s="281"/>
      <c r="AL262" s="281"/>
      <c r="AM262" s="281"/>
      <c r="AN262" s="281"/>
      <c r="AO262" s="281"/>
      <c r="AP262" s="281"/>
      <c r="AQ262" s="281"/>
      <c r="AR262" s="281"/>
      <c r="AS262" s="281"/>
      <c r="AT262" s="281"/>
      <c r="AU262" s="281"/>
    </row>
    <row r="263" spans="1:47" ht="25" customHeight="1" x14ac:dyDescent="0.35">
      <c r="A263" s="330" t="s">
        <v>156</v>
      </c>
      <c r="B263" s="330"/>
      <c r="C263" s="330"/>
      <c r="D263" s="330"/>
      <c r="E263" s="330"/>
      <c r="F263" s="330"/>
      <c r="G263" s="330"/>
      <c r="H263" s="330"/>
      <c r="I263" s="330"/>
      <c r="J263" s="330"/>
      <c r="K263" s="341"/>
      <c r="L263" s="572"/>
      <c r="M263" s="572"/>
      <c r="N263" s="572"/>
      <c r="O263" s="572"/>
      <c r="P263" s="572"/>
      <c r="Q263" s="572"/>
      <c r="R263" s="572"/>
      <c r="S263" s="572"/>
      <c r="V263" s="281"/>
      <c r="W263" s="281"/>
      <c r="X263" s="281"/>
      <c r="Y263" s="281"/>
      <c r="Z263" s="281"/>
      <c r="AA263" s="281"/>
      <c r="AB263" s="281"/>
      <c r="AC263" s="281"/>
      <c r="AD263" s="281"/>
      <c r="AE263" s="281"/>
      <c r="AF263" s="281"/>
      <c r="AG263" s="281"/>
      <c r="AH263" s="281"/>
      <c r="AI263" s="281"/>
      <c r="AJ263" s="281"/>
      <c r="AK263" s="281"/>
      <c r="AL263" s="281"/>
      <c r="AM263" s="281"/>
      <c r="AN263" s="281"/>
      <c r="AO263" s="281"/>
      <c r="AP263" s="281"/>
      <c r="AQ263" s="281"/>
      <c r="AR263" s="281"/>
      <c r="AS263" s="281"/>
      <c r="AT263" s="281"/>
      <c r="AU263" s="281"/>
    </row>
    <row r="264" spans="1:47" ht="25" customHeight="1" x14ac:dyDescent="0.35">
      <c r="A264" s="330"/>
      <c r="B264" s="330"/>
      <c r="C264" s="330"/>
      <c r="D264" s="330"/>
      <c r="E264" s="330"/>
      <c r="F264" s="330"/>
      <c r="G264" s="330"/>
      <c r="H264" s="330"/>
      <c r="I264" s="330"/>
      <c r="J264" s="330"/>
      <c r="K264" s="341"/>
      <c r="L264" s="572"/>
      <c r="M264" s="572"/>
      <c r="N264" s="572"/>
      <c r="O264" s="572"/>
      <c r="P264" s="572"/>
      <c r="Q264" s="572"/>
      <c r="R264" s="572"/>
      <c r="S264" s="572"/>
      <c r="V264" s="281"/>
      <c r="W264" s="281"/>
      <c r="X264" s="281"/>
      <c r="Y264" s="281"/>
      <c r="Z264" s="281"/>
      <c r="AA264" s="281"/>
      <c r="AB264" s="281"/>
      <c r="AC264" s="281"/>
      <c r="AD264" s="281"/>
      <c r="AE264" s="281"/>
      <c r="AF264" s="281"/>
      <c r="AG264" s="281"/>
      <c r="AH264" s="281"/>
      <c r="AI264" s="281"/>
      <c r="AJ264" s="281"/>
      <c r="AK264" s="281"/>
      <c r="AL264" s="281"/>
      <c r="AM264" s="281"/>
      <c r="AN264" s="281"/>
      <c r="AO264" s="281"/>
      <c r="AP264" s="281"/>
      <c r="AQ264" s="281"/>
      <c r="AR264" s="281"/>
      <c r="AS264" s="281"/>
      <c r="AT264" s="281"/>
      <c r="AU264" s="281"/>
    </row>
    <row r="265" spans="1:47" ht="25" customHeight="1" x14ac:dyDescent="0.35">
      <c r="A265" s="330"/>
      <c r="B265" s="330"/>
      <c r="C265" s="330"/>
      <c r="D265" s="330"/>
      <c r="E265" s="330"/>
      <c r="F265" s="330"/>
      <c r="G265" s="330"/>
      <c r="H265" s="330"/>
      <c r="I265" s="330"/>
      <c r="J265" s="330"/>
      <c r="K265" s="341"/>
      <c r="L265" s="572"/>
      <c r="M265" s="572"/>
      <c r="N265" s="572"/>
      <c r="O265" s="572"/>
      <c r="P265" s="572"/>
      <c r="Q265" s="572"/>
      <c r="R265" s="572"/>
      <c r="S265" s="572"/>
      <c r="V265" s="281"/>
      <c r="W265" s="281"/>
      <c r="X265" s="281"/>
      <c r="Y265" s="281"/>
      <c r="Z265" s="281"/>
      <c r="AA265" s="281"/>
      <c r="AB265" s="281"/>
      <c r="AC265" s="281"/>
      <c r="AD265" s="281"/>
      <c r="AE265" s="281"/>
      <c r="AF265" s="281"/>
      <c r="AG265" s="281"/>
      <c r="AH265" s="281"/>
      <c r="AI265" s="281"/>
      <c r="AJ265" s="281"/>
      <c r="AK265" s="281"/>
      <c r="AL265" s="281"/>
      <c r="AM265" s="281"/>
      <c r="AN265" s="281"/>
      <c r="AO265" s="281"/>
      <c r="AP265" s="281"/>
      <c r="AQ265" s="281"/>
      <c r="AR265" s="281"/>
      <c r="AS265" s="281"/>
      <c r="AT265" s="281"/>
      <c r="AU265" s="281"/>
    </row>
    <row r="266" spans="1:47" ht="25" customHeight="1" x14ac:dyDescent="0.35">
      <c r="A266" s="330" t="s">
        <v>145</v>
      </c>
      <c r="B266" s="330"/>
      <c r="C266" s="330"/>
      <c r="D266" s="330"/>
      <c r="E266" s="330"/>
      <c r="F266" s="330"/>
      <c r="G266" s="330"/>
      <c r="H266" s="330"/>
      <c r="I266" s="330"/>
      <c r="J266" s="330"/>
      <c r="K266" s="341"/>
      <c r="L266" s="572"/>
      <c r="M266" s="572"/>
      <c r="N266" s="572"/>
      <c r="O266" s="572"/>
      <c r="P266" s="572"/>
      <c r="Q266" s="572"/>
      <c r="R266" s="572"/>
      <c r="S266" s="572"/>
      <c r="V266" s="281"/>
      <c r="W266" s="281"/>
      <c r="X266" s="281"/>
      <c r="Y266" s="281"/>
      <c r="Z266" s="281"/>
      <c r="AA266" s="281"/>
      <c r="AB266" s="281"/>
      <c r="AC266" s="281"/>
      <c r="AD266" s="281"/>
      <c r="AE266" s="281"/>
      <c r="AF266" s="281"/>
      <c r="AG266" s="281"/>
      <c r="AH266" s="281"/>
      <c r="AI266" s="281"/>
      <c r="AJ266" s="281"/>
      <c r="AK266" s="281"/>
      <c r="AL266" s="281"/>
      <c r="AM266" s="281"/>
      <c r="AN266" s="281"/>
      <c r="AO266" s="281"/>
      <c r="AP266" s="281"/>
      <c r="AQ266" s="281"/>
      <c r="AR266" s="281"/>
      <c r="AS266" s="281"/>
      <c r="AT266" s="281"/>
      <c r="AU266" s="281"/>
    </row>
    <row r="267" spans="1:47" ht="25" customHeight="1" x14ac:dyDescent="0.35">
      <c r="A267" s="330" t="s">
        <v>14</v>
      </c>
      <c r="B267" s="330"/>
      <c r="C267" s="330"/>
      <c r="D267" s="330"/>
      <c r="E267" s="330"/>
      <c r="F267" s="330"/>
      <c r="G267" s="330"/>
      <c r="H267" s="330"/>
      <c r="I267" s="330"/>
      <c r="J267" s="330"/>
      <c r="K267" s="341"/>
      <c r="L267" s="572"/>
      <c r="M267" s="572"/>
      <c r="N267" s="572"/>
      <c r="O267" s="572"/>
      <c r="P267" s="572"/>
      <c r="Q267" s="572"/>
      <c r="R267" s="572"/>
      <c r="S267" s="572"/>
      <c r="V267" s="281"/>
      <c r="W267" s="281"/>
      <c r="X267" s="281"/>
      <c r="Y267" s="281"/>
      <c r="Z267" s="281"/>
      <c r="AA267" s="281"/>
      <c r="AB267" s="281"/>
      <c r="AC267" s="281"/>
      <c r="AD267" s="281"/>
      <c r="AE267" s="281"/>
      <c r="AF267" s="281"/>
      <c r="AG267" s="281"/>
      <c r="AH267" s="281"/>
      <c r="AI267" s="281"/>
      <c r="AJ267" s="281"/>
      <c r="AK267" s="281"/>
      <c r="AL267" s="281"/>
      <c r="AM267" s="281"/>
      <c r="AN267" s="281"/>
      <c r="AO267" s="281"/>
      <c r="AP267" s="281"/>
      <c r="AQ267" s="281"/>
      <c r="AR267" s="281"/>
      <c r="AS267" s="281"/>
      <c r="AT267" s="281"/>
      <c r="AU267" s="281"/>
    </row>
    <row r="268" spans="1:47" ht="25" customHeight="1" x14ac:dyDescent="0.35">
      <c r="A268" s="330" t="s">
        <v>159</v>
      </c>
      <c r="B268" s="330"/>
      <c r="C268" s="330"/>
      <c r="D268" s="330"/>
      <c r="E268" s="330"/>
      <c r="F268" s="330"/>
      <c r="G268" s="330"/>
      <c r="H268" s="330"/>
      <c r="I268" s="330"/>
      <c r="J268" s="330"/>
      <c r="K268" s="341"/>
      <c r="L268" s="572"/>
      <c r="M268" s="572"/>
      <c r="N268" s="572"/>
      <c r="O268" s="572"/>
      <c r="P268" s="572"/>
      <c r="Q268" s="572"/>
      <c r="R268" s="572"/>
      <c r="S268" s="572"/>
      <c r="V268" s="281"/>
      <c r="W268" s="281"/>
      <c r="X268" s="281"/>
      <c r="Y268" s="281"/>
      <c r="Z268" s="281"/>
      <c r="AA268" s="281"/>
      <c r="AB268" s="281"/>
      <c r="AC268" s="281"/>
      <c r="AD268" s="281"/>
      <c r="AE268" s="281"/>
      <c r="AF268" s="281"/>
      <c r="AG268" s="281"/>
      <c r="AH268" s="281"/>
      <c r="AI268" s="281"/>
      <c r="AJ268" s="281"/>
      <c r="AK268" s="281"/>
      <c r="AL268" s="281"/>
      <c r="AM268" s="281"/>
      <c r="AN268" s="281"/>
      <c r="AO268" s="281"/>
      <c r="AP268" s="281"/>
      <c r="AQ268" s="281"/>
      <c r="AR268" s="281"/>
      <c r="AS268" s="281"/>
      <c r="AT268" s="281"/>
      <c r="AU268" s="281"/>
    </row>
    <row r="269" spans="1:47" ht="25" customHeight="1" x14ac:dyDescent="0.35">
      <c r="A269" s="330" t="s">
        <v>160</v>
      </c>
      <c r="B269" s="330"/>
      <c r="C269" s="330"/>
      <c r="D269" s="330"/>
      <c r="E269" s="330"/>
      <c r="F269" s="330"/>
      <c r="G269" s="330"/>
      <c r="H269" s="330"/>
      <c r="I269" s="330"/>
      <c r="J269" s="330"/>
      <c r="K269" s="341"/>
      <c r="L269" s="572"/>
      <c r="M269" s="572"/>
      <c r="N269" s="572"/>
      <c r="O269" s="572"/>
      <c r="P269" s="572"/>
      <c r="Q269" s="572"/>
      <c r="R269" s="572"/>
      <c r="S269" s="572"/>
      <c r="V269" s="281"/>
      <c r="W269" s="281"/>
      <c r="X269" s="281"/>
      <c r="Y269" s="281"/>
      <c r="Z269" s="281"/>
      <c r="AA269" s="281"/>
      <c r="AB269" s="281"/>
      <c r="AC269" s="281"/>
      <c r="AD269" s="281"/>
      <c r="AE269" s="281"/>
      <c r="AF269" s="281"/>
      <c r="AG269" s="281"/>
      <c r="AH269" s="281"/>
      <c r="AI269" s="281"/>
      <c r="AJ269" s="281"/>
      <c r="AK269" s="281"/>
      <c r="AL269" s="281"/>
      <c r="AM269" s="281"/>
      <c r="AN269" s="281"/>
      <c r="AO269" s="281"/>
      <c r="AP269" s="281"/>
      <c r="AQ269" s="281"/>
      <c r="AR269" s="281"/>
      <c r="AS269" s="281"/>
      <c r="AT269" s="281"/>
      <c r="AU269" s="281"/>
    </row>
    <row r="270" spans="1:47" ht="25" customHeight="1" x14ac:dyDescent="0.35">
      <c r="A270" s="330"/>
      <c r="B270" s="330"/>
      <c r="C270" s="330"/>
      <c r="D270" s="330"/>
      <c r="E270" s="330"/>
      <c r="F270" s="330"/>
      <c r="G270" s="330"/>
      <c r="H270" s="330"/>
      <c r="I270" s="330"/>
      <c r="J270" s="330"/>
      <c r="K270" s="341"/>
      <c r="L270" s="572"/>
      <c r="M270" s="572"/>
      <c r="N270" s="572"/>
      <c r="O270" s="572"/>
      <c r="P270" s="572"/>
      <c r="Q270" s="572"/>
      <c r="R270" s="572"/>
      <c r="S270" s="572"/>
      <c r="V270" s="281"/>
      <c r="W270" s="281"/>
      <c r="X270" s="281"/>
      <c r="Y270" s="281"/>
      <c r="Z270" s="281"/>
      <c r="AA270" s="281"/>
      <c r="AB270" s="281"/>
      <c r="AC270" s="281"/>
      <c r="AD270" s="281"/>
      <c r="AE270" s="281"/>
      <c r="AF270" s="281"/>
      <c r="AG270" s="281"/>
      <c r="AH270" s="281"/>
      <c r="AI270" s="281"/>
      <c r="AJ270" s="281"/>
      <c r="AK270" s="281"/>
      <c r="AL270" s="281"/>
      <c r="AM270" s="281"/>
      <c r="AN270" s="281"/>
      <c r="AO270" s="281"/>
      <c r="AP270" s="281"/>
      <c r="AQ270" s="281"/>
      <c r="AR270" s="281"/>
      <c r="AS270" s="281"/>
      <c r="AT270" s="281"/>
      <c r="AU270" s="281"/>
    </row>
    <row r="271" spans="1:47" ht="25" customHeight="1" x14ac:dyDescent="0.35">
      <c r="A271" s="330" t="s">
        <v>146</v>
      </c>
      <c r="B271" s="330"/>
      <c r="C271" s="330"/>
      <c r="D271" s="330"/>
      <c r="E271" s="330"/>
      <c r="F271" s="330"/>
      <c r="G271" s="330"/>
      <c r="H271" s="330"/>
      <c r="I271" s="330"/>
      <c r="J271" s="330"/>
      <c r="K271" s="341"/>
      <c r="L271" s="572"/>
      <c r="M271" s="572"/>
      <c r="N271" s="572"/>
      <c r="O271" s="572"/>
      <c r="P271" s="572"/>
      <c r="Q271" s="572"/>
      <c r="R271" s="572"/>
      <c r="S271" s="572"/>
      <c r="V271" s="281"/>
      <c r="W271" s="281"/>
      <c r="X271" s="281"/>
      <c r="Y271" s="281"/>
      <c r="Z271" s="281"/>
      <c r="AA271" s="281"/>
      <c r="AB271" s="281"/>
      <c r="AC271" s="281"/>
      <c r="AD271" s="281"/>
      <c r="AE271" s="281"/>
      <c r="AF271" s="281"/>
      <c r="AG271" s="281"/>
      <c r="AH271" s="281"/>
      <c r="AI271" s="281"/>
      <c r="AJ271" s="281"/>
      <c r="AK271" s="281"/>
      <c r="AL271" s="281"/>
      <c r="AM271" s="281"/>
      <c r="AN271" s="281"/>
      <c r="AO271" s="281"/>
      <c r="AP271" s="281"/>
      <c r="AQ271" s="281"/>
      <c r="AR271" s="281"/>
      <c r="AS271" s="281"/>
      <c r="AT271" s="281"/>
      <c r="AU271" s="281"/>
    </row>
    <row r="272" spans="1:47" ht="25" customHeight="1" x14ac:dyDescent="0.35">
      <c r="A272" s="330" t="s">
        <v>14</v>
      </c>
      <c r="B272" s="330"/>
      <c r="C272" s="330"/>
      <c r="D272" s="330"/>
      <c r="E272" s="330"/>
      <c r="F272" s="330"/>
      <c r="G272" s="330"/>
      <c r="H272" s="330"/>
      <c r="I272" s="330"/>
      <c r="J272" s="330"/>
      <c r="K272" s="341"/>
      <c r="L272" s="572"/>
      <c r="M272" s="572"/>
      <c r="N272" s="572"/>
      <c r="O272" s="572"/>
      <c r="P272" s="572"/>
      <c r="Q272" s="572"/>
      <c r="R272" s="572"/>
      <c r="S272" s="572"/>
      <c r="V272" s="281"/>
      <c r="W272" s="281"/>
      <c r="X272" s="281"/>
      <c r="Y272" s="281"/>
      <c r="Z272" s="281"/>
      <c r="AA272" s="281"/>
      <c r="AB272" s="281"/>
      <c r="AC272" s="281"/>
      <c r="AD272" s="281"/>
      <c r="AE272" s="281"/>
      <c r="AF272" s="281"/>
      <c r="AG272" s="281"/>
      <c r="AH272" s="281"/>
      <c r="AI272" s="281"/>
      <c r="AJ272" s="281"/>
      <c r="AK272" s="281"/>
      <c r="AL272" s="281"/>
      <c r="AM272" s="281"/>
      <c r="AN272" s="281"/>
      <c r="AO272" s="281"/>
      <c r="AP272" s="281"/>
      <c r="AQ272" s="281"/>
      <c r="AR272" s="281"/>
      <c r="AS272" s="281"/>
      <c r="AT272" s="281"/>
      <c r="AU272" s="281"/>
    </row>
    <row r="273" spans="1:47" ht="25" customHeight="1" x14ac:dyDescent="0.35">
      <c r="A273" s="330" t="s">
        <v>159</v>
      </c>
      <c r="B273" s="330"/>
      <c r="C273" s="330"/>
      <c r="D273" s="330"/>
      <c r="E273" s="330"/>
      <c r="F273" s="330"/>
      <c r="G273" s="330"/>
      <c r="H273" s="330"/>
      <c r="I273" s="330"/>
      <c r="J273" s="330"/>
      <c r="K273" s="341"/>
      <c r="L273" s="572"/>
      <c r="M273" s="572"/>
      <c r="N273" s="572"/>
      <c r="O273" s="572"/>
      <c r="P273" s="572"/>
      <c r="Q273" s="572"/>
      <c r="R273" s="572"/>
      <c r="S273" s="572"/>
      <c r="V273" s="281"/>
      <c r="W273" s="281"/>
      <c r="X273" s="281"/>
      <c r="Y273" s="281"/>
      <c r="Z273" s="281"/>
      <c r="AA273" s="281"/>
      <c r="AB273" s="281"/>
      <c r="AC273" s="281"/>
      <c r="AD273" s="281"/>
      <c r="AE273" s="281"/>
      <c r="AF273" s="281"/>
      <c r="AG273" s="281"/>
      <c r="AH273" s="281"/>
      <c r="AI273" s="281"/>
      <c r="AJ273" s="281"/>
      <c r="AK273" s="281"/>
      <c r="AL273" s="281"/>
      <c r="AM273" s="281"/>
      <c r="AN273" s="281"/>
      <c r="AO273" s="281"/>
      <c r="AP273" s="281"/>
      <c r="AQ273" s="281"/>
      <c r="AR273" s="281"/>
      <c r="AS273" s="281"/>
      <c r="AT273" s="281"/>
      <c r="AU273" s="281"/>
    </row>
    <row r="274" spans="1:47" ht="25" customHeight="1" x14ac:dyDescent="0.35">
      <c r="A274" s="330" t="s">
        <v>160</v>
      </c>
      <c r="B274" s="330"/>
      <c r="C274" s="330"/>
      <c r="D274" s="330"/>
      <c r="E274" s="330"/>
      <c r="F274" s="330"/>
      <c r="G274" s="330"/>
      <c r="H274" s="330"/>
      <c r="I274" s="330"/>
      <c r="J274" s="330"/>
      <c r="K274" s="341"/>
      <c r="L274" s="572"/>
      <c r="M274" s="572"/>
      <c r="N274" s="572"/>
      <c r="O274" s="572"/>
      <c r="P274" s="572"/>
      <c r="Q274" s="572"/>
      <c r="R274" s="572"/>
      <c r="S274" s="572"/>
      <c r="V274" s="281"/>
      <c r="W274" s="281"/>
      <c r="X274" s="281"/>
      <c r="Y274" s="281"/>
      <c r="Z274" s="281"/>
      <c r="AA274" s="281"/>
      <c r="AB274" s="281"/>
      <c r="AC274" s="281"/>
      <c r="AD274" s="281"/>
      <c r="AE274" s="281"/>
      <c r="AF274" s="281"/>
      <c r="AG274" s="281"/>
      <c r="AH274" s="281"/>
      <c r="AI274" s="281"/>
      <c r="AJ274" s="281"/>
      <c r="AK274" s="281"/>
      <c r="AL274" s="281"/>
      <c r="AM274" s="281"/>
      <c r="AN274" s="281"/>
      <c r="AO274" s="281"/>
      <c r="AP274" s="281"/>
      <c r="AQ274" s="281"/>
      <c r="AR274" s="281"/>
      <c r="AS274" s="281"/>
      <c r="AT274" s="281"/>
      <c r="AU274" s="281"/>
    </row>
    <row r="275" spans="1:47" ht="25" customHeight="1" x14ac:dyDescent="0.35">
      <c r="A275" s="330"/>
      <c r="B275" s="330"/>
      <c r="C275" s="330"/>
      <c r="D275" s="330"/>
      <c r="E275" s="330"/>
      <c r="F275" s="330"/>
      <c r="G275" s="330"/>
      <c r="H275" s="330"/>
      <c r="I275" s="330"/>
      <c r="J275" s="330"/>
      <c r="K275" s="341"/>
      <c r="L275" s="572"/>
      <c r="M275" s="572"/>
      <c r="N275" s="572"/>
      <c r="O275" s="572"/>
      <c r="P275" s="572"/>
      <c r="Q275" s="572"/>
      <c r="R275" s="572"/>
      <c r="S275" s="572"/>
      <c r="V275" s="281"/>
      <c r="W275" s="281"/>
      <c r="X275" s="281"/>
      <c r="Y275" s="281"/>
      <c r="Z275" s="281"/>
      <c r="AA275" s="281"/>
      <c r="AB275" s="281"/>
      <c r="AC275" s="281"/>
      <c r="AD275" s="281"/>
      <c r="AE275" s="281"/>
      <c r="AF275" s="281"/>
      <c r="AG275" s="281"/>
      <c r="AH275" s="281"/>
      <c r="AI275" s="281"/>
      <c r="AJ275" s="281"/>
      <c r="AK275" s="281"/>
      <c r="AL275" s="281"/>
      <c r="AM275" s="281"/>
      <c r="AN275" s="281"/>
      <c r="AO275" s="281"/>
      <c r="AP275" s="281"/>
      <c r="AQ275" s="281"/>
      <c r="AR275" s="281"/>
      <c r="AS275" s="281"/>
      <c r="AT275" s="281"/>
      <c r="AU275" s="281"/>
    </row>
    <row r="276" spans="1:47" ht="25" customHeight="1" x14ac:dyDescent="0.35">
      <c r="A276" s="330" t="s">
        <v>147</v>
      </c>
      <c r="B276" s="330"/>
      <c r="C276" s="330"/>
      <c r="D276" s="330"/>
      <c r="E276" s="330"/>
      <c r="F276" s="330"/>
      <c r="G276" s="330"/>
      <c r="H276" s="330"/>
      <c r="I276" s="330"/>
      <c r="V276" s="281"/>
      <c r="W276" s="281"/>
      <c r="X276" s="281"/>
      <c r="Y276" s="281"/>
      <c r="Z276" s="281"/>
      <c r="AA276" s="281"/>
      <c r="AB276" s="281"/>
      <c r="AC276" s="281"/>
      <c r="AD276" s="281"/>
      <c r="AE276" s="281"/>
      <c r="AF276" s="281"/>
      <c r="AG276" s="281"/>
      <c r="AH276" s="281"/>
      <c r="AI276" s="281"/>
      <c r="AJ276" s="281"/>
      <c r="AK276" s="281"/>
      <c r="AL276" s="281"/>
      <c r="AM276" s="281"/>
      <c r="AN276" s="281"/>
      <c r="AO276" s="281"/>
      <c r="AP276" s="281"/>
      <c r="AQ276" s="281"/>
      <c r="AR276" s="281"/>
      <c r="AS276" s="281"/>
      <c r="AT276" s="281"/>
      <c r="AU276" s="281"/>
    </row>
    <row r="277" spans="1:47" ht="25" customHeight="1" x14ac:dyDescent="0.35">
      <c r="A277" s="330" t="s">
        <v>14</v>
      </c>
      <c r="B277" s="330"/>
      <c r="C277" s="330"/>
      <c r="D277" s="330"/>
      <c r="E277" s="330"/>
      <c r="F277" s="330"/>
      <c r="G277" s="330"/>
      <c r="H277" s="330"/>
      <c r="I277" s="330"/>
      <c r="V277" s="281"/>
      <c r="W277" s="281"/>
      <c r="X277" s="281"/>
      <c r="Y277" s="281"/>
      <c r="Z277" s="281"/>
      <c r="AA277" s="281"/>
      <c r="AB277" s="281"/>
      <c r="AC277" s="281"/>
      <c r="AD277" s="281"/>
      <c r="AE277" s="281"/>
      <c r="AF277" s="281"/>
      <c r="AG277" s="281"/>
      <c r="AH277" s="281"/>
      <c r="AI277" s="281"/>
      <c r="AJ277" s="281"/>
      <c r="AK277" s="281"/>
      <c r="AL277" s="281"/>
      <c r="AM277" s="281"/>
      <c r="AN277" s="281"/>
      <c r="AO277" s="281"/>
      <c r="AP277" s="281"/>
      <c r="AQ277" s="281"/>
      <c r="AR277" s="281"/>
      <c r="AS277" s="281"/>
      <c r="AT277" s="281"/>
      <c r="AU277" s="281"/>
    </row>
    <row r="278" spans="1:47" ht="25" customHeight="1" x14ac:dyDescent="0.35">
      <c r="A278" s="330" t="s">
        <v>159</v>
      </c>
      <c r="B278" s="330"/>
      <c r="C278" s="330"/>
      <c r="D278" s="330"/>
      <c r="E278" s="330"/>
      <c r="F278" s="330"/>
      <c r="G278" s="330"/>
      <c r="H278" s="330"/>
      <c r="I278" s="330"/>
      <c r="V278" s="281"/>
      <c r="W278" s="281"/>
      <c r="X278" s="281"/>
      <c r="Y278" s="281"/>
      <c r="Z278" s="281"/>
      <c r="AA278" s="281"/>
      <c r="AB278" s="281"/>
      <c r="AC278" s="281"/>
      <c r="AD278" s="281"/>
      <c r="AE278" s="281"/>
      <c r="AF278" s="281"/>
      <c r="AG278" s="281"/>
      <c r="AH278" s="281"/>
      <c r="AI278" s="281"/>
      <c r="AJ278" s="281"/>
      <c r="AK278" s="281"/>
      <c r="AL278" s="281"/>
      <c r="AM278" s="281"/>
      <c r="AN278" s="281"/>
      <c r="AO278" s="281"/>
      <c r="AP278" s="281"/>
      <c r="AQ278" s="281"/>
      <c r="AR278" s="281"/>
      <c r="AS278" s="281"/>
      <c r="AT278" s="281"/>
      <c r="AU278" s="281"/>
    </row>
    <row r="279" spans="1:47" ht="25" customHeight="1" x14ac:dyDescent="0.35">
      <c r="A279" s="330" t="s">
        <v>160</v>
      </c>
      <c r="B279" s="330"/>
      <c r="C279" s="330"/>
      <c r="D279" s="330"/>
      <c r="E279" s="330"/>
      <c r="F279" s="330"/>
      <c r="G279" s="330"/>
      <c r="H279" s="330"/>
      <c r="I279" s="330"/>
      <c r="V279" s="281"/>
      <c r="W279" s="281"/>
      <c r="X279" s="281"/>
      <c r="Y279" s="281"/>
      <c r="Z279" s="281"/>
      <c r="AA279" s="281"/>
      <c r="AB279" s="281"/>
      <c r="AC279" s="281"/>
      <c r="AD279" s="281"/>
      <c r="AE279" s="281"/>
      <c r="AF279" s="281"/>
      <c r="AG279" s="281"/>
      <c r="AH279" s="281"/>
      <c r="AI279" s="281"/>
      <c r="AJ279" s="281"/>
      <c r="AK279" s="281"/>
      <c r="AL279" s="281"/>
      <c r="AM279" s="281"/>
      <c r="AN279" s="281"/>
      <c r="AO279" s="281"/>
      <c r="AP279" s="281"/>
      <c r="AQ279" s="281"/>
      <c r="AR279" s="281"/>
      <c r="AS279" s="281"/>
      <c r="AT279" s="281"/>
      <c r="AU279" s="281"/>
    </row>
    <row r="280" spans="1:47" ht="25" customHeight="1" x14ac:dyDescent="0.35">
      <c r="A280" s="330"/>
      <c r="B280" s="330"/>
      <c r="C280" s="330"/>
      <c r="D280" s="330"/>
      <c r="E280" s="330"/>
      <c r="F280" s="330"/>
      <c r="G280" s="330"/>
      <c r="H280" s="330"/>
      <c r="I280" s="330"/>
      <c r="V280" s="281"/>
      <c r="W280" s="281"/>
      <c r="X280" s="281"/>
      <c r="Y280" s="281"/>
      <c r="Z280" s="281"/>
      <c r="AA280" s="281"/>
      <c r="AB280" s="281"/>
      <c r="AC280" s="281"/>
      <c r="AD280" s="281"/>
      <c r="AE280" s="281"/>
      <c r="AF280" s="281"/>
      <c r="AG280" s="281"/>
      <c r="AH280" s="281"/>
      <c r="AI280" s="281"/>
      <c r="AJ280" s="281"/>
      <c r="AK280" s="281"/>
      <c r="AL280" s="281"/>
      <c r="AM280" s="281"/>
      <c r="AN280" s="281"/>
      <c r="AO280" s="281"/>
      <c r="AP280" s="281"/>
      <c r="AQ280" s="281"/>
      <c r="AR280" s="281"/>
      <c r="AS280" s="281"/>
      <c r="AT280" s="281"/>
      <c r="AU280" s="281"/>
    </row>
    <row r="281" spans="1:47" ht="25" customHeight="1" x14ac:dyDescent="0.35">
      <c r="A281" s="330" t="s">
        <v>161</v>
      </c>
      <c r="B281" s="330"/>
      <c r="C281" s="330"/>
      <c r="D281" s="330"/>
      <c r="E281" s="330"/>
      <c r="F281" s="330"/>
      <c r="G281" s="330"/>
      <c r="H281" s="330"/>
      <c r="I281" s="330"/>
      <c r="V281" s="281"/>
      <c r="W281" s="281"/>
      <c r="X281" s="281"/>
      <c r="Y281" s="281"/>
      <c r="Z281" s="281"/>
      <c r="AA281" s="281"/>
      <c r="AB281" s="281"/>
      <c r="AC281" s="281"/>
      <c r="AD281" s="281"/>
      <c r="AE281" s="281"/>
      <c r="AF281" s="281"/>
      <c r="AG281" s="281"/>
      <c r="AH281" s="281"/>
      <c r="AI281" s="281"/>
      <c r="AJ281" s="281"/>
      <c r="AK281" s="281"/>
      <c r="AL281" s="281"/>
      <c r="AM281" s="281"/>
      <c r="AN281" s="281"/>
      <c r="AO281" s="281"/>
      <c r="AP281" s="281"/>
      <c r="AQ281" s="281"/>
      <c r="AR281" s="281"/>
      <c r="AS281" s="281"/>
      <c r="AT281" s="281"/>
      <c r="AU281" s="281"/>
    </row>
    <row r="282" spans="1:47" ht="25" customHeight="1" x14ac:dyDescent="0.35">
      <c r="A282" s="330" t="s">
        <v>14</v>
      </c>
      <c r="B282" s="330"/>
      <c r="C282" s="330"/>
      <c r="D282" s="330"/>
      <c r="E282" s="330"/>
      <c r="F282" s="330"/>
      <c r="G282" s="330"/>
      <c r="H282" s="330"/>
      <c r="I282" s="330"/>
      <c r="V282" s="281"/>
      <c r="W282" s="281"/>
      <c r="X282" s="281"/>
      <c r="Y282" s="281"/>
      <c r="Z282" s="281"/>
      <c r="AA282" s="281"/>
      <c r="AB282" s="281"/>
      <c r="AC282" s="281"/>
      <c r="AD282" s="281"/>
      <c r="AE282" s="281"/>
      <c r="AF282" s="281"/>
      <c r="AG282" s="281"/>
      <c r="AH282" s="281"/>
      <c r="AI282" s="281"/>
      <c r="AJ282" s="281"/>
      <c r="AK282" s="281"/>
      <c r="AL282" s="281"/>
      <c r="AM282" s="281"/>
      <c r="AN282" s="281"/>
      <c r="AO282" s="281"/>
      <c r="AP282" s="281"/>
      <c r="AQ282" s="281"/>
      <c r="AR282" s="281"/>
      <c r="AS282" s="281"/>
      <c r="AT282" s="281"/>
      <c r="AU282" s="281"/>
    </row>
    <row r="283" spans="1:47" ht="25" customHeight="1" x14ac:dyDescent="0.35">
      <c r="A283" s="330" t="s">
        <v>159</v>
      </c>
      <c r="B283" s="330"/>
      <c r="C283" s="330"/>
      <c r="D283" s="330"/>
      <c r="E283" s="330"/>
      <c r="F283" s="330"/>
      <c r="G283" s="330"/>
      <c r="H283" s="330"/>
      <c r="I283" s="330"/>
      <c r="V283" s="281"/>
      <c r="W283" s="281"/>
      <c r="X283" s="281"/>
      <c r="Y283" s="281"/>
      <c r="Z283" s="281"/>
      <c r="AA283" s="281"/>
      <c r="AB283" s="281"/>
      <c r="AC283" s="281"/>
      <c r="AD283" s="281"/>
      <c r="AE283" s="281"/>
      <c r="AF283" s="281"/>
      <c r="AG283" s="281"/>
      <c r="AH283" s="281"/>
      <c r="AI283" s="281"/>
      <c r="AJ283" s="281"/>
      <c r="AK283" s="281"/>
      <c r="AL283" s="281"/>
      <c r="AM283" s="281"/>
      <c r="AN283" s="281"/>
      <c r="AO283" s="281"/>
      <c r="AP283" s="281"/>
      <c r="AQ283" s="281"/>
      <c r="AR283" s="281"/>
      <c r="AS283" s="281"/>
      <c r="AT283" s="281"/>
      <c r="AU283" s="281"/>
    </row>
    <row r="284" spans="1:47" ht="25" customHeight="1" x14ac:dyDescent="0.35">
      <c r="A284" s="330" t="s">
        <v>160</v>
      </c>
      <c r="B284" s="330"/>
      <c r="C284" s="330"/>
      <c r="D284" s="330"/>
      <c r="E284" s="330"/>
      <c r="F284" s="330"/>
      <c r="G284" s="330"/>
      <c r="H284" s="330"/>
      <c r="I284" s="330"/>
      <c r="V284" s="281"/>
      <c r="W284" s="281"/>
      <c r="X284" s="281"/>
      <c r="Y284" s="281"/>
      <c r="Z284" s="281"/>
      <c r="AA284" s="281"/>
      <c r="AB284" s="281"/>
      <c r="AC284" s="281"/>
      <c r="AD284" s="281"/>
      <c r="AE284" s="281"/>
      <c r="AF284" s="281"/>
      <c r="AG284" s="281"/>
      <c r="AH284" s="281"/>
      <c r="AI284" s="281"/>
      <c r="AJ284" s="281"/>
      <c r="AK284" s="281"/>
      <c r="AL284" s="281"/>
      <c r="AM284" s="281"/>
      <c r="AN284" s="281"/>
      <c r="AO284" s="281"/>
      <c r="AP284" s="281"/>
      <c r="AQ284" s="281"/>
      <c r="AR284" s="281"/>
      <c r="AS284" s="281"/>
      <c r="AT284" s="281"/>
      <c r="AU284" s="281"/>
    </row>
    <row r="285" spans="1:47" ht="25" customHeight="1" x14ac:dyDescent="0.35">
      <c r="A285" s="330"/>
      <c r="B285" s="330"/>
      <c r="C285" s="330"/>
      <c r="D285" s="330"/>
      <c r="E285" s="330"/>
      <c r="F285" s="330"/>
      <c r="G285" s="330"/>
      <c r="H285" s="330"/>
      <c r="I285" s="330"/>
      <c r="V285" s="281"/>
      <c r="W285" s="281"/>
      <c r="X285" s="281"/>
      <c r="Y285" s="281"/>
      <c r="Z285" s="281"/>
      <c r="AA285" s="281"/>
      <c r="AB285" s="281"/>
      <c r="AC285" s="281"/>
      <c r="AD285" s="281"/>
      <c r="AE285" s="281"/>
      <c r="AF285" s="281"/>
      <c r="AG285" s="281"/>
      <c r="AH285" s="281"/>
      <c r="AI285" s="281"/>
      <c r="AJ285" s="281"/>
      <c r="AK285" s="281"/>
      <c r="AL285" s="281"/>
      <c r="AM285" s="281"/>
      <c r="AN285" s="281"/>
      <c r="AO285" s="281"/>
      <c r="AP285" s="281"/>
      <c r="AQ285" s="281"/>
      <c r="AR285" s="281"/>
      <c r="AS285" s="281"/>
      <c r="AT285" s="281"/>
      <c r="AU285" s="281"/>
    </row>
    <row r="286" spans="1:47" ht="25" customHeight="1" x14ac:dyDescent="0.35">
      <c r="A286" s="330" t="s">
        <v>149</v>
      </c>
      <c r="B286" s="330"/>
      <c r="C286" s="330"/>
      <c r="D286" s="330"/>
      <c r="E286" s="330"/>
      <c r="F286" s="330"/>
      <c r="G286" s="330"/>
      <c r="H286" s="330"/>
      <c r="I286" s="330"/>
      <c r="V286" s="281"/>
      <c r="W286" s="281"/>
      <c r="X286" s="281"/>
      <c r="Y286" s="281"/>
      <c r="Z286" s="281"/>
      <c r="AA286" s="281"/>
      <c r="AB286" s="281"/>
      <c r="AC286" s="281"/>
      <c r="AD286" s="281"/>
      <c r="AE286" s="281"/>
      <c r="AF286" s="281"/>
      <c r="AG286" s="281"/>
      <c r="AH286" s="281"/>
      <c r="AI286" s="281"/>
      <c r="AJ286" s="281"/>
      <c r="AK286" s="281"/>
      <c r="AL286" s="281"/>
      <c r="AM286" s="281"/>
      <c r="AN286" s="281"/>
      <c r="AO286" s="281"/>
      <c r="AP286" s="281"/>
      <c r="AQ286" s="281"/>
      <c r="AR286" s="281"/>
      <c r="AS286" s="281"/>
      <c r="AT286" s="281"/>
      <c r="AU286" s="281"/>
    </row>
    <row r="287" spans="1:47" ht="25" customHeight="1" x14ac:dyDescent="0.35">
      <c r="A287" s="330" t="s">
        <v>14</v>
      </c>
      <c r="B287" s="330"/>
      <c r="C287" s="330"/>
      <c r="D287" s="330"/>
      <c r="E287" s="330"/>
      <c r="F287" s="330"/>
      <c r="G287" s="330"/>
      <c r="H287" s="330"/>
      <c r="I287" s="330"/>
      <c r="V287" s="281"/>
      <c r="W287" s="281"/>
      <c r="X287" s="281"/>
      <c r="Y287" s="281"/>
      <c r="Z287" s="281"/>
      <c r="AA287" s="281"/>
      <c r="AB287" s="281"/>
      <c r="AC287" s="281"/>
      <c r="AD287" s="281"/>
      <c r="AE287" s="281"/>
      <c r="AF287" s="281"/>
      <c r="AG287" s="281"/>
      <c r="AH287" s="281"/>
      <c r="AI287" s="281"/>
      <c r="AJ287" s="281"/>
      <c r="AK287" s="281"/>
      <c r="AL287" s="281"/>
      <c r="AM287" s="281"/>
      <c r="AN287" s="281"/>
      <c r="AO287" s="281"/>
      <c r="AP287" s="281"/>
      <c r="AQ287" s="281"/>
      <c r="AR287" s="281"/>
      <c r="AS287" s="281"/>
      <c r="AT287" s="281"/>
      <c r="AU287" s="281"/>
    </row>
    <row r="288" spans="1:47" ht="25" customHeight="1" x14ac:dyDescent="0.35">
      <c r="A288" s="330" t="s">
        <v>159</v>
      </c>
      <c r="B288" s="330"/>
      <c r="C288" s="330"/>
      <c r="D288" s="330"/>
      <c r="E288" s="330"/>
      <c r="F288" s="330"/>
      <c r="G288" s="330"/>
      <c r="H288" s="330"/>
      <c r="I288" s="330"/>
      <c r="V288" s="281"/>
      <c r="W288" s="281"/>
      <c r="X288" s="281"/>
      <c r="Y288" s="281"/>
      <c r="Z288" s="281"/>
      <c r="AA288" s="281"/>
      <c r="AB288" s="281"/>
      <c r="AC288" s="281"/>
      <c r="AD288" s="281"/>
      <c r="AE288" s="281"/>
      <c r="AF288" s="281"/>
      <c r="AG288" s="281"/>
      <c r="AH288" s="281"/>
      <c r="AI288" s="281"/>
      <c r="AJ288" s="281"/>
      <c r="AK288" s="281"/>
      <c r="AL288" s="281"/>
      <c r="AM288" s="281"/>
      <c r="AN288" s="281"/>
      <c r="AO288" s="281"/>
      <c r="AP288" s="281"/>
      <c r="AQ288" s="281"/>
      <c r="AR288" s="281"/>
      <c r="AS288" s="281"/>
      <c r="AT288" s="281"/>
      <c r="AU288" s="281"/>
    </row>
    <row r="289" spans="1:47" ht="25" customHeight="1" x14ac:dyDescent="0.35">
      <c r="A289" s="330" t="s">
        <v>160</v>
      </c>
      <c r="B289" s="330"/>
      <c r="C289" s="330"/>
      <c r="D289" s="330"/>
      <c r="E289" s="330"/>
      <c r="F289" s="330"/>
      <c r="G289" s="330"/>
      <c r="H289" s="330"/>
      <c r="I289" s="330"/>
      <c r="V289" s="281"/>
      <c r="W289" s="281"/>
      <c r="X289" s="281"/>
      <c r="Y289" s="281"/>
      <c r="Z289" s="281"/>
      <c r="AA289" s="281"/>
      <c r="AB289" s="281"/>
      <c r="AC289" s="281"/>
      <c r="AD289" s="281"/>
      <c r="AE289" s="281"/>
      <c r="AF289" s="281"/>
      <c r="AG289" s="281"/>
      <c r="AH289" s="281"/>
      <c r="AI289" s="281"/>
      <c r="AJ289" s="281"/>
      <c r="AK289" s="281"/>
      <c r="AL289" s="281"/>
      <c r="AM289" s="281"/>
      <c r="AN289" s="281"/>
      <c r="AO289" s="281"/>
      <c r="AP289" s="281"/>
      <c r="AQ289" s="281"/>
      <c r="AR289" s="281"/>
      <c r="AS289" s="281"/>
      <c r="AT289" s="281"/>
      <c r="AU289" s="281"/>
    </row>
    <row r="290" spans="1:47" ht="25" customHeight="1" x14ac:dyDescent="0.35">
      <c r="A290" s="330"/>
      <c r="B290" s="330"/>
      <c r="C290" s="330"/>
      <c r="D290" s="330"/>
      <c r="E290" s="330"/>
      <c r="F290" s="330"/>
      <c r="G290" s="330"/>
      <c r="H290" s="330"/>
      <c r="I290" s="330"/>
      <c r="V290" s="281"/>
      <c r="W290" s="281"/>
      <c r="X290" s="281"/>
      <c r="Y290" s="281"/>
      <c r="Z290" s="281"/>
      <c r="AA290" s="281"/>
      <c r="AB290" s="281"/>
      <c r="AC290" s="281"/>
      <c r="AD290" s="281"/>
      <c r="AE290" s="281"/>
      <c r="AF290" s="281"/>
      <c r="AG290" s="281"/>
      <c r="AH290" s="281"/>
      <c r="AI290" s="281"/>
      <c r="AJ290" s="281"/>
      <c r="AK290" s="281"/>
      <c r="AL290" s="281"/>
      <c r="AM290" s="281"/>
      <c r="AN290" s="281"/>
      <c r="AO290" s="281"/>
      <c r="AP290" s="281"/>
      <c r="AQ290" s="281"/>
      <c r="AR290" s="281"/>
      <c r="AS290" s="281"/>
      <c r="AT290" s="281"/>
      <c r="AU290" s="281"/>
    </row>
    <row r="291" spans="1:47" ht="25" customHeight="1" x14ac:dyDescent="0.35">
      <c r="A291" s="330" t="s">
        <v>162</v>
      </c>
      <c r="B291" s="330"/>
      <c r="C291" s="330"/>
      <c r="D291" s="330"/>
      <c r="E291" s="330"/>
      <c r="F291" s="330"/>
      <c r="G291" s="330"/>
      <c r="H291" s="330"/>
      <c r="I291" s="330"/>
      <c r="V291" s="281"/>
      <c r="W291" s="281"/>
      <c r="X291" s="281"/>
      <c r="Y291" s="281"/>
      <c r="Z291" s="281"/>
      <c r="AA291" s="281"/>
      <c r="AB291" s="281"/>
      <c r="AC291" s="281"/>
      <c r="AD291" s="281"/>
      <c r="AE291" s="281"/>
      <c r="AF291" s="281"/>
      <c r="AG291" s="281"/>
      <c r="AH291" s="281"/>
      <c r="AI291" s="281"/>
      <c r="AJ291" s="281"/>
      <c r="AK291" s="281"/>
      <c r="AL291" s="281"/>
      <c r="AM291" s="281"/>
      <c r="AN291" s="281"/>
      <c r="AO291" s="281"/>
      <c r="AP291" s="281"/>
      <c r="AQ291" s="281"/>
      <c r="AR291" s="281"/>
      <c r="AS291" s="281"/>
      <c r="AT291" s="281"/>
      <c r="AU291" s="281"/>
    </row>
    <row r="292" spans="1:47" ht="25" customHeight="1" x14ac:dyDescent="0.35">
      <c r="A292" s="330" t="s">
        <v>14</v>
      </c>
      <c r="B292" s="330"/>
      <c r="C292" s="330"/>
      <c r="D292" s="330"/>
      <c r="E292" s="330"/>
      <c r="F292" s="330"/>
      <c r="G292" s="330"/>
      <c r="H292" s="330"/>
      <c r="I292" s="330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/>
      <c r="AU292" s="281"/>
    </row>
    <row r="293" spans="1:47" ht="25" customHeight="1" x14ac:dyDescent="0.35">
      <c r="A293" s="330" t="s">
        <v>159</v>
      </c>
      <c r="B293" s="330"/>
      <c r="C293" s="330"/>
      <c r="D293" s="330"/>
      <c r="E293" s="330"/>
      <c r="F293" s="330"/>
      <c r="V293" s="281"/>
      <c r="W293" s="281"/>
      <c r="X293" s="281"/>
      <c r="Y293" s="281"/>
      <c r="Z293" s="281"/>
      <c r="AA293" s="281"/>
      <c r="AB293" s="281"/>
      <c r="AC293" s="281"/>
      <c r="AD293" s="281"/>
      <c r="AE293" s="281"/>
      <c r="AF293" s="281"/>
      <c r="AG293" s="281"/>
      <c r="AH293" s="281"/>
      <c r="AI293" s="281"/>
      <c r="AJ293" s="281"/>
      <c r="AK293" s="281"/>
      <c r="AL293" s="281"/>
      <c r="AM293" s="281"/>
      <c r="AN293" s="281"/>
      <c r="AO293" s="281"/>
      <c r="AP293" s="281"/>
      <c r="AQ293" s="281"/>
      <c r="AR293" s="281"/>
      <c r="AS293" s="281"/>
      <c r="AT293" s="281"/>
      <c r="AU293" s="281"/>
    </row>
    <row r="294" spans="1:47" ht="25" customHeight="1" x14ac:dyDescent="0.35">
      <c r="A294" s="330" t="s">
        <v>160</v>
      </c>
      <c r="B294" s="330"/>
      <c r="C294" s="330"/>
      <c r="D294" s="330"/>
      <c r="E294" s="330"/>
      <c r="F294" s="330"/>
      <c r="V294" s="281"/>
      <c r="W294" s="281"/>
      <c r="X294" s="281"/>
      <c r="Y294" s="281"/>
      <c r="Z294" s="281"/>
      <c r="AA294" s="281"/>
      <c r="AB294" s="281"/>
      <c r="AC294" s="281"/>
      <c r="AD294" s="281"/>
      <c r="AE294" s="281"/>
      <c r="AF294" s="281"/>
      <c r="AG294" s="281"/>
      <c r="AH294" s="281"/>
      <c r="AI294" s="281"/>
      <c r="AJ294" s="281"/>
      <c r="AK294" s="281"/>
      <c r="AL294" s="281"/>
      <c r="AM294" s="281"/>
      <c r="AN294" s="281"/>
      <c r="AO294" s="281"/>
      <c r="AP294" s="281"/>
      <c r="AQ294" s="281"/>
      <c r="AR294" s="281"/>
      <c r="AS294" s="281"/>
      <c r="AT294" s="281"/>
      <c r="AU294" s="281"/>
    </row>
    <row r="295" spans="1:47" ht="25" customHeight="1" x14ac:dyDescent="0.35">
      <c r="A295" s="330"/>
      <c r="B295" s="330"/>
      <c r="C295" s="330"/>
      <c r="D295" s="330"/>
      <c r="E295" s="330"/>
      <c r="F295" s="330"/>
      <c r="V295" s="281"/>
      <c r="W295" s="281"/>
      <c r="X295" s="281"/>
      <c r="Y295" s="281"/>
      <c r="Z295" s="281"/>
      <c r="AA295" s="281"/>
      <c r="AB295" s="281"/>
      <c r="AC295" s="281"/>
      <c r="AD295" s="281"/>
      <c r="AE295" s="281"/>
      <c r="AF295" s="281"/>
      <c r="AG295" s="281"/>
      <c r="AH295" s="281"/>
      <c r="AI295" s="281"/>
      <c r="AJ295" s="281"/>
      <c r="AK295" s="281"/>
      <c r="AL295" s="281"/>
      <c r="AM295" s="281"/>
      <c r="AN295" s="281"/>
      <c r="AO295" s="281"/>
      <c r="AP295" s="281"/>
      <c r="AQ295" s="281"/>
      <c r="AR295" s="281"/>
      <c r="AS295" s="281"/>
      <c r="AT295" s="281"/>
      <c r="AU295" s="281"/>
    </row>
    <row r="296" spans="1:47" ht="25" customHeight="1" x14ac:dyDescent="0.35">
      <c r="A296" s="330" t="s">
        <v>163</v>
      </c>
      <c r="B296" s="330"/>
      <c r="C296" s="330"/>
      <c r="D296" s="330"/>
      <c r="E296" s="330"/>
      <c r="F296" s="330"/>
      <c r="V296" s="281"/>
      <c r="W296" s="281"/>
      <c r="X296" s="281"/>
      <c r="Y296" s="281"/>
      <c r="Z296" s="281"/>
      <c r="AA296" s="281"/>
      <c r="AB296" s="281"/>
      <c r="AC296" s="281"/>
      <c r="AD296" s="281"/>
      <c r="AE296" s="281"/>
      <c r="AF296" s="281"/>
      <c r="AG296" s="281"/>
      <c r="AH296" s="281"/>
      <c r="AI296" s="281"/>
      <c r="AJ296" s="281"/>
      <c r="AK296" s="281"/>
      <c r="AL296" s="281"/>
      <c r="AM296" s="281"/>
      <c r="AN296" s="281"/>
      <c r="AO296" s="281"/>
      <c r="AP296" s="281"/>
      <c r="AQ296" s="281"/>
      <c r="AR296" s="281"/>
      <c r="AS296" s="281"/>
      <c r="AT296" s="281"/>
      <c r="AU296" s="281"/>
    </row>
    <row r="297" spans="1:47" ht="25" customHeight="1" x14ac:dyDescent="0.35">
      <c r="A297" s="330"/>
      <c r="B297" s="330"/>
      <c r="C297" s="330"/>
      <c r="D297" s="330"/>
      <c r="E297" s="330"/>
      <c r="F297" s="330"/>
      <c r="V297" s="281"/>
      <c r="W297" s="281"/>
      <c r="X297" s="281"/>
      <c r="Y297" s="281"/>
      <c r="Z297" s="281"/>
      <c r="AA297" s="281"/>
      <c r="AB297" s="281"/>
      <c r="AC297" s="281"/>
      <c r="AD297" s="281"/>
      <c r="AE297" s="281"/>
      <c r="AF297" s="281"/>
      <c r="AG297" s="281"/>
      <c r="AH297" s="281"/>
      <c r="AI297" s="281"/>
      <c r="AJ297" s="281"/>
      <c r="AK297" s="281"/>
      <c r="AL297" s="281"/>
      <c r="AM297" s="281"/>
      <c r="AN297" s="281"/>
      <c r="AO297" s="281"/>
      <c r="AP297" s="281"/>
      <c r="AQ297" s="281"/>
      <c r="AR297" s="281"/>
      <c r="AS297" s="281"/>
      <c r="AT297" s="281"/>
      <c r="AU297" s="281"/>
    </row>
    <row r="298" spans="1:47" ht="25" customHeight="1" x14ac:dyDescent="0.35">
      <c r="A298" s="330" t="s">
        <v>164</v>
      </c>
      <c r="B298" s="330"/>
      <c r="C298" s="330"/>
      <c r="D298" s="330"/>
      <c r="E298" s="330"/>
      <c r="F298" s="330"/>
      <c r="V298" s="281"/>
      <c r="W298" s="281"/>
      <c r="X298" s="281"/>
      <c r="Y298" s="281"/>
      <c r="Z298" s="281"/>
      <c r="AA298" s="281"/>
      <c r="AB298" s="281"/>
      <c r="AC298" s="281"/>
      <c r="AD298" s="281"/>
      <c r="AE298" s="281"/>
      <c r="AF298" s="281"/>
      <c r="AG298" s="281"/>
      <c r="AH298" s="281"/>
      <c r="AI298" s="281"/>
      <c r="AJ298" s="281"/>
      <c r="AK298" s="281"/>
      <c r="AL298" s="281"/>
      <c r="AM298" s="281"/>
      <c r="AN298" s="281"/>
      <c r="AO298" s="281"/>
      <c r="AP298" s="281"/>
      <c r="AQ298" s="281"/>
      <c r="AR298" s="281"/>
      <c r="AS298" s="281"/>
      <c r="AT298" s="281"/>
      <c r="AU298" s="281"/>
    </row>
    <row r="299" spans="1:47" ht="25" customHeight="1" x14ac:dyDescent="0.35">
      <c r="A299" s="330" t="s">
        <v>165</v>
      </c>
      <c r="B299" s="330"/>
      <c r="C299" s="330"/>
      <c r="D299" s="330"/>
      <c r="E299" s="330"/>
      <c r="F299" s="330"/>
      <c r="V299" s="281"/>
      <c r="W299" s="281"/>
      <c r="X299" s="281"/>
      <c r="Y299" s="281"/>
      <c r="Z299" s="281"/>
      <c r="AA299" s="281"/>
      <c r="AB299" s="281"/>
      <c r="AC299" s="281"/>
      <c r="AD299" s="281"/>
      <c r="AE299" s="281"/>
      <c r="AF299" s="281"/>
      <c r="AG299" s="281"/>
      <c r="AH299" s="281"/>
      <c r="AI299" s="281"/>
      <c r="AJ299" s="281"/>
      <c r="AK299" s="281"/>
      <c r="AL299" s="281"/>
      <c r="AM299" s="281"/>
      <c r="AN299" s="281"/>
      <c r="AO299" s="281"/>
      <c r="AP299" s="281"/>
      <c r="AQ299" s="281"/>
      <c r="AR299" s="281"/>
      <c r="AS299" s="281"/>
      <c r="AT299" s="281"/>
      <c r="AU299" s="281"/>
    </row>
    <row r="300" spans="1:47" ht="25" customHeight="1" x14ac:dyDescent="0.35">
      <c r="A300" s="330" t="s">
        <v>133</v>
      </c>
      <c r="B300" s="330"/>
      <c r="C300" s="330"/>
      <c r="D300" s="330"/>
      <c r="E300" s="330"/>
      <c r="F300" s="330"/>
      <c r="V300" s="281"/>
      <c r="W300" s="281"/>
      <c r="X300" s="281"/>
      <c r="Y300" s="281"/>
      <c r="Z300" s="281"/>
      <c r="AA300" s="281"/>
      <c r="AB300" s="281"/>
      <c r="AC300" s="281"/>
      <c r="AD300" s="281"/>
      <c r="AE300" s="281"/>
      <c r="AF300" s="281"/>
      <c r="AG300" s="281"/>
      <c r="AH300" s="281"/>
      <c r="AI300" s="281"/>
      <c r="AJ300" s="281"/>
      <c r="AK300" s="281"/>
      <c r="AL300" s="281"/>
      <c r="AM300" s="281"/>
      <c r="AN300" s="281"/>
      <c r="AO300" s="281"/>
      <c r="AP300" s="281"/>
      <c r="AQ300" s="281"/>
      <c r="AR300" s="281"/>
      <c r="AS300" s="281"/>
      <c r="AT300" s="281"/>
      <c r="AU300" s="281"/>
    </row>
    <row r="301" spans="1:47" ht="25" customHeight="1" x14ac:dyDescent="0.35">
      <c r="A301" s="330" t="s">
        <v>128</v>
      </c>
      <c r="B301" s="330"/>
      <c r="C301" s="330"/>
      <c r="D301" s="330"/>
      <c r="E301" s="330"/>
      <c r="F301" s="330"/>
      <c r="V301" s="281"/>
      <c r="W301" s="281"/>
      <c r="X301" s="281"/>
      <c r="Y301" s="281"/>
      <c r="Z301" s="281"/>
      <c r="AA301" s="281"/>
      <c r="AB301" s="281"/>
      <c r="AC301" s="281"/>
      <c r="AD301" s="281"/>
      <c r="AE301" s="281"/>
      <c r="AF301" s="281"/>
      <c r="AG301" s="281"/>
      <c r="AH301" s="281"/>
      <c r="AI301" s="281"/>
      <c r="AJ301" s="281"/>
      <c r="AK301" s="281"/>
      <c r="AL301" s="281"/>
      <c r="AM301" s="281"/>
      <c r="AN301" s="281"/>
      <c r="AO301" s="281"/>
      <c r="AP301" s="281"/>
      <c r="AQ301" s="281"/>
      <c r="AR301" s="281"/>
      <c r="AS301" s="281"/>
      <c r="AT301" s="281"/>
      <c r="AU301" s="281"/>
    </row>
    <row r="302" spans="1:47" ht="25" customHeight="1" x14ac:dyDescent="0.35">
      <c r="A302" s="330" t="s">
        <v>129</v>
      </c>
      <c r="B302" s="330"/>
      <c r="C302" s="330"/>
      <c r="D302" s="330"/>
      <c r="E302" s="330"/>
      <c r="F302" s="330"/>
      <c r="V302" s="281"/>
      <c r="W302" s="281"/>
      <c r="X302" s="281"/>
      <c r="Y302" s="281"/>
      <c r="Z302" s="281"/>
      <c r="AA302" s="281"/>
      <c r="AB302" s="281"/>
      <c r="AC302" s="281"/>
      <c r="AD302" s="281"/>
      <c r="AE302" s="281"/>
      <c r="AF302" s="281"/>
      <c r="AG302" s="281"/>
      <c r="AH302" s="281"/>
      <c r="AI302" s="281"/>
      <c r="AJ302" s="281"/>
      <c r="AK302" s="281"/>
      <c r="AL302" s="281"/>
      <c r="AM302" s="281"/>
      <c r="AN302" s="281"/>
      <c r="AO302" s="281"/>
      <c r="AP302" s="281"/>
      <c r="AQ302" s="281"/>
      <c r="AR302" s="281"/>
      <c r="AS302" s="281"/>
      <c r="AT302" s="281"/>
      <c r="AU302" s="281"/>
    </row>
    <row r="303" spans="1:47" ht="25" customHeight="1" x14ac:dyDescent="0.35">
      <c r="A303" s="330" t="s">
        <v>130</v>
      </c>
      <c r="B303" s="330"/>
      <c r="C303" s="330"/>
      <c r="D303" s="330"/>
      <c r="E303" s="330"/>
      <c r="F303" s="330"/>
      <c r="V303" s="281"/>
      <c r="W303" s="281"/>
      <c r="X303" s="281"/>
      <c r="Y303" s="281"/>
      <c r="Z303" s="281"/>
      <c r="AA303" s="281"/>
      <c r="AB303" s="281"/>
      <c r="AC303" s="281"/>
      <c r="AD303" s="281"/>
      <c r="AE303" s="281"/>
      <c r="AF303" s="281"/>
      <c r="AG303" s="281"/>
      <c r="AH303" s="281"/>
      <c r="AI303" s="281"/>
      <c r="AJ303" s="281"/>
      <c r="AK303" s="281"/>
      <c r="AL303" s="281"/>
      <c r="AM303" s="281"/>
      <c r="AN303" s="281"/>
      <c r="AO303" s="281"/>
      <c r="AP303" s="281"/>
      <c r="AQ303" s="281"/>
      <c r="AR303" s="281"/>
      <c r="AS303" s="281"/>
      <c r="AT303" s="281"/>
      <c r="AU303" s="281"/>
    </row>
    <row r="304" spans="1:47" ht="25" customHeight="1" x14ac:dyDescent="0.35">
      <c r="A304" s="330" t="s">
        <v>166</v>
      </c>
      <c r="B304" s="330"/>
      <c r="C304" s="330"/>
      <c r="D304" s="330"/>
      <c r="E304" s="330"/>
      <c r="F304" s="330"/>
      <c r="V304" s="281"/>
      <c r="W304" s="281"/>
      <c r="X304" s="281"/>
      <c r="Y304" s="281"/>
      <c r="Z304" s="281"/>
      <c r="AA304" s="281"/>
      <c r="AB304" s="281"/>
      <c r="AC304" s="281"/>
      <c r="AD304" s="281"/>
      <c r="AE304" s="281"/>
      <c r="AF304" s="281"/>
      <c r="AG304" s="281"/>
      <c r="AH304" s="281"/>
      <c r="AI304" s="281"/>
      <c r="AJ304" s="281"/>
      <c r="AK304" s="281"/>
      <c r="AL304" s="281"/>
      <c r="AM304" s="281"/>
      <c r="AN304" s="281"/>
      <c r="AO304" s="281"/>
      <c r="AP304" s="281"/>
      <c r="AQ304" s="281"/>
      <c r="AR304" s="281"/>
      <c r="AS304" s="281"/>
      <c r="AT304" s="281"/>
      <c r="AU304" s="281"/>
    </row>
    <row r="305" spans="1:47" ht="25" customHeight="1" x14ac:dyDescent="0.35">
      <c r="A305" s="330" t="s">
        <v>133</v>
      </c>
      <c r="B305" s="330"/>
      <c r="C305" s="330"/>
      <c r="D305" s="330"/>
      <c r="E305" s="330"/>
      <c r="F305" s="330"/>
      <c r="V305" s="281"/>
      <c r="W305" s="281"/>
      <c r="X305" s="281"/>
      <c r="Y305" s="281"/>
      <c r="Z305" s="281"/>
      <c r="AA305" s="281"/>
      <c r="AB305" s="281"/>
      <c r="AC305" s="281"/>
      <c r="AD305" s="281"/>
      <c r="AE305" s="281"/>
      <c r="AF305" s="281"/>
      <c r="AG305" s="281"/>
      <c r="AH305" s="281"/>
      <c r="AI305" s="281"/>
      <c r="AJ305" s="281"/>
      <c r="AK305" s="281"/>
      <c r="AL305" s="281"/>
      <c r="AM305" s="281"/>
      <c r="AN305" s="281"/>
      <c r="AO305" s="281"/>
      <c r="AP305" s="281"/>
      <c r="AQ305" s="281"/>
      <c r="AR305" s="281"/>
      <c r="AS305" s="281"/>
      <c r="AT305" s="281"/>
      <c r="AU305" s="281"/>
    </row>
    <row r="306" spans="1:47" ht="25" customHeight="1" x14ac:dyDescent="0.35">
      <c r="A306" s="330" t="s">
        <v>128</v>
      </c>
      <c r="B306" s="330"/>
      <c r="C306" s="330"/>
      <c r="D306" s="330"/>
      <c r="E306" s="330"/>
      <c r="F306" s="330"/>
      <c r="V306" s="281"/>
      <c r="W306" s="281"/>
      <c r="X306" s="281"/>
      <c r="Y306" s="281"/>
      <c r="Z306" s="281"/>
      <c r="AA306" s="281"/>
      <c r="AB306" s="281"/>
      <c r="AC306" s="281"/>
      <c r="AD306" s="281"/>
      <c r="AE306" s="281"/>
      <c r="AF306" s="281"/>
      <c r="AG306" s="281"/>
      <c r="AH306" s="281"/>
      <c r="AI306" s="281"/>
      <c r="AJ306" s="281"/>
      <c r="AK306" s="281"/>
      <c r="AL306" s="281"/>
      <c r="AM306" s="281"/>
      <c r="AN306" s="281"/>
      <c r="AO306" s="281"/>
      <c r="AP306" s="281"/>
      <c r="AQ306" s="281"/>
      <c r="AR306" s="281"/>
      <c r="AS306" s="281"/>
      <c r="AT306" s="281"/>
      <c r="AU306" s="281"/>
    </row>
    <row r="307" spans="1:47" ht="25" customHeight="1" x14ac:dyDescent="0.35">
      <c r="A307" s="330" t="s">
        <v>129</v>
      </c>
      <c r="B307" s="330"/>
      <c r="C307" s="330"/>
      <c r="D307" s="330"/>
      <c r="E307" s="330"/>
      <c r="F307" s="330"/>
      <c r="V307" s="281"/>
      <c r="W307" s="281"/>
      <c r="X307" s="281"/>
      <c r="Y307" s="281"/>
      <c r="Z307" s="281"/>
      <c r="AA307" s="281"/>
      <c r="AB307" s="281"/>
      <c r="AC307" s="281"/>
      <c r="AD307" s="281"/>
      <c r="AE307" s="281"/>
      <c r="AF307" s="281"/>
      <c r="AG307" s="281"/>
      <c r="AH307" s="281"/>
      <c r="AI307" s="281"/>
      <c r="AJ307" s="281"/>
      <c r="AK307" s="281"/>
      <c r="AL307" s="281"/>
      <c r="AM307" s="281"/>
      <c r="AN307" s="281"/>
      <c r="AO307" s="281"/>
      <c r="AP307" s="281"/>
      <c r="AQ307" s="281"/>
      <c r="AR307" s="281"/>
      <c r="AS307" s="281"/>
      <c r="AT307" s="281"/>
      <c r="AU307" s="281"/>
    </row>
    <row r="308" spans="1:47" ht="25" customHeight="1" x14ac:dyDescent="0.35">
      <c r="A308" s="330" t="s">
        <v>130</v>
      </c>
      <c r="B308" s="330"/>
      <c r="C308" s="330"/>
      <c r="D308" s="330"/>
      <c r="E308" s="330"/>
      <c r="F308" s="330"/>
      <c r="V308" s="281"/>
      <c r="W308" s="281"/>
      <c r="X308" s="281"/>
      <c r="Y308" s="281"/>
      <c r="Z308" s="281"/>
      <c r="AA308" s="281"/>
      <c r="AB308" s="281"/>
      <c r="AC308" s="281"/>
      <c r="AD308" s="281"/>
      <c r="AE308" s="281"/>
      <c r="AF308" s="281"/>
      <c r="AG308" s="281"/>
      <c r="AH308" s="281"/>
      <c r="AI308" s="281"/>
      <c r="AJ308" s="281"/>
      <c r="AK308" s="281"/>
      <c r="AL308" s="281"/>
      <c r="AM308" s="281"/>
      <c r="AN308" s="281"/>
      <c r="AO308" s="281"/>
      <c r="AP308" s="281"/>
      <c r="AQ308" s="281"/>
      <c r="AR308" s="281"/>
      <c r="AS308" s="281"/>
      <c r="AT308" s="281"/>
      <c r="AU308" s="281"/>
    </row>
    <row r="309" spans="1:47" ht="25" customHeight="1" x14ac:dyDescent="0.35">
      <c r="A309" s="330" t="s">
        <v>31</v>
      </c>
      <c r="B309" s="330"/>
      <c r="C309" s="330"/>
      <c r="D309" s="330"/>
      <c r="E309" s="330"/>
      <c r="F309" s="330"/>
      <c r="V309" s="281"/>
      <c r="W309" s="281"/>
      <c r="X309" s="281"/>
      <c r="Y309" s="281"/>
      <c r="Z309" s="281"/>
      <c r="AA309" s="281"/>
      <c r="AB309" s="281"/>
      <c r="AC309" s="281"/>
      <c r="AD309" s="281"/>
      <c r="AE309" s="281"/>
      <c r="AF309" s="281"/>
      <c r="AG309" s="281"/>
      <c r="AH309" s="281"/>
      <c r="AI309" s="281"/>
      <c r="AJ309" s="281"/>
      <c r="AK309" s="281"/>
      <c r="AL309" s="281"/>
      <c r="AM309" s="281"/>
      <c r="AN309" s="281"/>
      <c r="AO309" s="281"/>
      <c r="AP309" s="281"/>
      <c r="AQ309" s="281"/>
      <c r="AR309" s="281"/>
      <c r="AS309" s="281"/>
      <c r="AT309" s="281"/>
      <c r="AU309" s="281"/>
    </row>
    <row r="310" spans="1:47" ht="25" customHeight="1" x14ac:dyDescent="0.35">
      <c r="A310" s="330" t="s">
        <v>167</v>
      </c>
      <c r="B310" s="330"/>
      <c r="C310" s="330"/>
      <c r="D310" s="330"/>
      <c r="E310" s="330"/>
      <c r="F310" s="330"/>
      <c r="V310" s="281"/>
      <c r="W310" s="281"/>
      <c r="X310" s="281"/>
      <c r="Y310" s="281"/>
      <c r="Z310" s="281"/>
      <c r="AA310" s="281"/>
      <c r="AB310" s="281"/>
      <c r="AC310" s="281"/>
      <c r="AD310" s="281"/>
      <c r="AE310" s="281"/>
      <c r="AF310" s="281"/>
      <c r="AG310" s="281"/>
      <c r="AH310" s="281"/>
      <c r="AI310" s="281"/>
      <c r="AJ310" s="281"/>
      <c r="AK310" s="281"/>
      <c r="AL310" s="281"/>
      <c r="AM310" s="281"/>
      <c r="AN310" s="281"/>
      <c r="AO310" s="281"/>
      <c r="AP310" s="281"/>
      <c r="AQ310" s="281"/>
      <c r="AR310" s="281"/>
      <c r="AS310" s="281"/>
      <c r="AT310" s="281"/>
      <c r="AU310" s="281"/>
    </row>
    <row r="311" spans="1:47" ht="25" customHeight="1" x14ac:dyDescent="0.35">
      <c r="F311" s="330"/>
      <c r="V311" s="281"/>
      <c r="W311" s="281"/>
      <c r="X311" s="281"/>
      <c r="Y311" s="281"/>
      <c r="Z311" s="281"/>
      <c r="AA311" s="281"/>
      <c r="AB311" s="281"/>
      <c r="AC311" s="281"/>
      <c r="AD311" s="281"/>
      <c r="AE311" s="281"/>
      <c r="AF311" s="281"/>
      <c r="AG311" s="281"/>
      <c r="AH311" s="281"/>
      <c r="AI311" s="281"/>
      <c r="AJ311" s="281"/>
      <c r="AK311" s="281"/>
      <c r="AL311" s="281"/>
      <c r="AM311" s="281"/>
      <c r="AN311" s="281"/>
      <c r="AO311" s="281"/>
      <c r="AP311" s="281"/>
      <c r="AQ311" s="281"/>
      <c r="AR311" s="281"/>
      <c r="AS311" s="281"/>
      <c r="AT311" s="281"/>
      <c r="AU311" s="281"/>
    </row>
    <row r="312" spans="1:47" ht="25" customHeight="1" x14ac:dyDescent="0.35">
      <c r="F312" s="330"/>
      <c r="V312" s="281"/>
      <c r="W312" s="281"/>
      <c r="X312" s="281"/>
      <c r="Y312" s="281"/>
      <c r="Z312" s="281"/>
      <c r="AA312" s="281"/>
      <c r="AB312" s="281"/>
      <c r="AC312" s="281"/>
      <c r="AD312" s="281"/>
      <c r="AE312" s="281"/>
      <c r="AF312" s="281"/>
      <c r="AG312" s="281"/>
      <c r="AH312" s="281"/>
      <c r="AI312" s="281"/>
      <c r="AJ312" s="281"/>
      <c r="AK312" s="281"/>
      <c r="AL312" s="281"/>
      <c r="AM312" s="281"/>
      <c r="AN312" s="281"/>
      <c r="AO312" s="281"/>
      <c r="AP312" s="281"/>
      <c r="AQ312" s="281"/>
      <c r="AR312" s="281"/>
      <c r="AS312" s="281"/>
      <c r="AT312" s="281"/>
      <c r="AU312" s="281"/>
    </row>
    <row r="313" spans="1:47" ht="25" customHeight="1" x14ac:dyDescent="0.35">
      <c r="F313" s="330"/>
      <c r="V313" s="281"/>
      <c r="W313" s="281"/>
      <c r="X313" s="281"/>
      <c r="Y313" s="281"/>
      <c r="Z313" s="281"/>
      <c r="AA313" s="281"/>
      <c r="AB313" s="281"/>
      <c r="AC313" s="281"/>
      <c r="AD313" s="281"/>
      <c r="AE313" s="281"/>
      <c r="AF313" s="281"/>
      <c r="AG313" s="281"/>
      <c r="AH313" s="281"/>
      <c r="AI313" s="281"/>
      <c r="AJ313" s="281"/>
      <c r="AK313" s="281"/>
      <c r="AL313" s="281"/>
      <c r="AM313" s="281"/>
      <c r="AN313" s="281"/>
      <c r="AO313" s="281"/>
      <c r="AP313" s="281"/>
      <c r="AQ313" s="281"/>
      <c r="AR313" s="281"/>
      <c r="AS313" s="281"/>
      <c r="AT313" s="281"/>
      <c r="AU313" s="281"/>
    </row>
    <row r="314" spans="1:47" ht="25" customHeight="1" x14ac:dyDescent="0.35">
      <c r="A314" s="447"/>
      <c r="B314" s="447">
        <v>2020</v>
      </c>
      <c r="C314" s="447">
        <v>2021</v>
      </c>
      <c r="D314" s="447">
        <v>2022</v>
      </c>
      <c r="E314" s="447" t="s">
        <v>4</v>
      </c>
      <c r="F314" s="447" t="s">
        <v>5</v>
      </c>
      <c r="G314" s="447" t="s">
        <v>6</v>
      </c>
      <c r="H314" s="447" t="s">
        <v>7</v>
      </c>
      <c r="I314" s="447" t="s">
        <v>8</v>
      </c>
      <c r="J314" s="289"/>
      <c r="K314" s="286"/>
      <c r="L314" s="598"/>
      <c r="M314" s="598"/>
      <c r="N314" s="598"/>
      <c r="O314" s="598"/>
      <c r="P314" s="598"/>
      <c r="Q314" s="598"/>
      <c r="R314" s="598"/>
      <c r="S314" s="598"/>
      <c r="T314" s="281"/>
      <c r="U314" s="281"/>
      <c r="V314" s="281"/>
      <c r="W314" s="281"/>
      <c r="X314" s="281"/>
      <c r="Y314" s="281"/>
      <c r="Z314" s="281"/>
      <c r="AA314" s="281"/>
      <c r="AB314" s="281"/>
      <c r="AC314" s="281"/>
      <c r="AD314" s="281"/>
      <c r="AE314" s="281"/>
      <c r="AF314" s="281"/>
      <c r="AG314" s="281"/>
      <c r="AH314" s="281"/>
      <c r="AI314" s="281"/>
      <c r="AJ314" s="281"/>
      <c r="AK314" s="281"/>
      <c r="AL314" s="281"/>
      <c r="AM314" s="281"/>
      <c r="AN314" s="281"/>
      <c r="AO314" s="281"/>
      <c r="AP314" s="281"/>
      <c r="AQ314" s="281"/>
      <c r="AR314" s="281"/>
      <c r="AS314" s="281"/>
    </row>
    <row r="315" spans="1:47" ht="25" customHeight="1" x14ac:dyDescent="0.35">
      <c r="A315" s="440" t="s">
        <v>168</v>
      </c>
      <c r="B315" s="448">
        <f>18.8%</f>
        <v>0.188</v>
      </c>
      <c r="C315" s="448">
        <f t="shared" ref="C315:I315" si="58">E89/E3</f>
        <v>0.1752745717414379</v>
      </c>
      <c r="D315" s="448">
        <f t="shared" si="58"/>
        <v>0.14347214058766902</v>
      </c>
      <c r="E315" s="448">
        <f t="shared" si="58"/>
        <v>0.18933875892023133</v>
      </c>
      <c r="F315" s="448">
        <f t="shared" si="58"/>
        <v>0.18746890417243972</v>
      </c>
      <c r="G315" s="448">
        <f t="shared" si="58"/>
        <v>0.18286487989485395</v>
      </c>
      <c r="H315" s="448">
        <f t="shared" si="58"/>
        <v>0.1842640412248128</v>
      </c>
      <c r="I315" s="448">
        <f t="shared" si="58"/>
        <v>0.18622885978615331</v>
      </c>
      <c r="J315" s="289"/>
      <c r="K315" s="286"/>
      <c r="L315" s="598"/>
      <c r="M315" s="598"/>
      <c r="N315" s="598"/>
      <c r="O315" s="598"/>
      <c r="P315" s="598"/>
      <c r="Q315" s="598"/>
      <c r="R315" s="598"/>
      <c r="S315" s="598"/>
      <c r="T315" s="286"/>
    </row>
    <row r="316" spans="1:47" ht="25" customHeight="1" x14ac:dyDescent="0.35">
      <c r="A316" s="440" t="s">
        <v>103</v>
      </c>
      <c r="B316" s="441">
        <f>CAPEX!D29</f>
        <v>-1068</v>
      </c>
      <c r="C316" s="441">
        <f>CAPEX!E29</f>
        <v>-1142</v>
      </c>
      <c r="D316" s="441">
        <f>CAPEX!F29</f>
        <v>-2673</v>
      </c>
      <c r="E316" s="441">
        <f>CAPEX!G29</f>
        <v>-3186</v>
      </c>
      <c r="F316" s="441">
        <f>CAPEX!H29</f>
        <v>-2158</v>
      </c>
      <c r="G316" s="441">
        <f>CAPEX!I29</f>
        <v>-1265</v>
      </c>
      <c r="H316" s="441">
        <f>CAPEX!J29</f>
        <v>-1531</v>
      </c>
      <c r="I316" s="441">
        <f>CAPEX!K29</f>
        <v>-1457</v>
      </c>
      <c r="J316" s="289"/>
      <c r="K316" s="286"/>
      <c r="L316" s="598"/>
      <c r="M316" s="598"/>
      <c r="N316" s="598"/>
      <c r="O316" s="598"/>
      <c r="P316" s="598"/>
      <c r="Q316" s="598"/>
      <c r="R316" s="598"/>
      <c r="S316" s="598"/>
      <c r="T316" s="286"/>
    </row>
    <row r="317" spans="1:47" ht="25" customHeight="1" x14ac:dyDescent="0.35">
      <c r="A317" s="440" t="s">
        <v>106</v>
      </c>
      <c r="B317" s="441">
        <f>CAPEX!I29</f>
        <v>-1265</v>
      </c>
      <c r="C317" s="441">
        <f>CAPEX!J29</f>
        <v>-1531</v>
      </c>
      <c r="D317" s="441">
        <f>CAPEX!K29</f>
        <v>-1457</v>
      </c>
      <c r="E317" s="441">
        <f>CAPEX!L29</f>
        <v>-1932.7551020408162</v>
      </c>
      <c r="F317" s="441">
        <f>CAPEX!M29</f>
        <v>-2200.3673469387754</v>
      </c>
      <c r="G317" s="441">
        <f>CAPEX!N29</f>
        <v>-2319.3061224489793</v>
      </c>
      <c r="H317" s="441">
        <f>CAPEX!O29</f>
        <v>-2557.1836734693875</v>
      </c>
      <c r="I317" s="441">
        <f>CAPEX!P29</f>
        <v>-2557.1836734693875</v>
      </c>
      <c r="J317" s="289"/>
      <c r="K317" s="286"/>
      <c r="L317" s="598"/>
      <c r="M317" s="598"/>
      <c r="N317" s="598"/>
      <c r="O317" s="598"/>
      <c r="P317" s="598"/>
      <c r="Q317" s="598"/>
      <c r="R317" s="598"/>
      <c r="S317" s="598"/>
      <c r="T317" s="286"/>
    </row>
    <row r="318" spans="1:47" ht="25" customHeight="1" x14ac:dyDescent="0.35">
      <c r="F318" s="330"/>
    </row>
    <row r="319" spans="1:47" ht="25" customHeight="1" x14ac:dyDescent="0.35">
      <c r="F319" s="330"/>
    </row>
  </sheetData>
  <mergeCells count="26">
    <mergeCell ref="N14:R14"/>
    <mergeCell ref="N8:R8"/>
    <mergeCell ref="N9:R9"/>
    <mergeCell ref="N10:R10"/>
    <mergeCell ref="N12:R12"/>
    <mergeCell ref="N13:R13"/>
    <mergeCell ref="B1:F1"/>
    <mergeCell ref="G1:K1"/>
    <mergeCell ref="A33:K33"/>
    <mergeCell ref="B49:F49"/>
    <mergeCell ref="G49:K49"/>
    <mergeCell ref="A4:K4"/>
    <mergeCell ref="A11:K11"/>
    <mergeCell ref="A17:K17"/>
    <mergeCell ref="A24:K24"/>
    <mergeCell ref="A30:K30"/>
    <mergeCell ref="A50:K50"/>
    <mergeCell ref="A57:K57"/>
    <mergeCell ref="A61:K61"/>
    <mergeCell ref="A69:K69"/>
    <mergeCell ref="W4:W5"/>
    <mergeCell ref="A76:K76"/>
    <mergeCell ref="A80:K80"/>
    <mergeCell ref="A84:K84"/>
    <mergeCell ref="A96:K96"/>
    <mergeCell ref="A99:K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C8F-6568-4E03-A46C-6E79684DB290}">
  <dimension ref="A2:F7"/>
  <sheetViews>
    <sheetView workbookViewId="0">
      <selection activeCell="F6" sqref="F6"/>
    </sheetView>
  </sheetViews>
  <sheetFormatPr defaultRowHeight="14.5" x14ac:dyDescent="0.35"/>
  <sheetData>
    <row r="2" spans="1:6" x14ac:dyDescent="0.35">
      <c r="B2">
        <v>120</v>
      </c>
    </row>
    <row r="3" spans="1:6" x14ac:dyDescent="0.35">
      <c r="A3" t="s">
        <v>169</v>
      </c>
      <c r="B3">
        <v>4600</v>
      </c>
    </row>
    <row r="4" spans="1:6" x14ac:dyDescent="0.35">
      <c r="A4" t="s">
        <v>170</v>
      </c>
      <c r="B4">
        <v>1.6</v>
      </c>
      <c r="C4">
        <f>B3/B4</f>
        <v>2875</v>
      </c>
      <c r="D4">
        <f>C4-C5</f>
        <v>290.7303370786517</v>
      </c>
      <c r="E4">
        <f>D4/4600</f>
        <v>6.3202247191011238E-2</v>
      </c>
    </row>
    <row r="5" spans="1:6" x14ac:dyDescent="0.35">
      <c r="B5">
        <v>1.78</v>
      </c>
      <c r="C5">
        <f>B3/B5</f>
        <v>2584.2696629213483</v>
      </c>
      <c r="F5">
        <f>E4+E6</f>
        <v>7.9506595017098197E-2</v>
      </c>
    </row>
    <row r="6" spans="1:6" x14ac:dyDescent="0.35">
      <c r="D6">
        <v>120</v>
      </c>
      <c r="E6">
        <f>D6/D7/B3</f>
        <v>1.6304347826086956E-2</v>
      </c>
    </row>
    <row r="7" spans="1:6" x14ac:dyDescent="0.35">
      <c r="D7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FAF6-A29F-45A8-9133-33138C75E941}">
  <dimension ref="A1:AG122"/>
  <sheetViews>
    <sheetView zoomScale="25" zoomScaleNormal="25" workbookViewId="0">
      <selection activeCell="W77" sqref="W77"/>
    </sheetView>
  </sheetViews>
  <sheetFormatPr defaultRowHeight="14.5" x14ac:dyDescent="0.35"/>
  <cols>
    <col min="1" max="1" width="14.453125" style="2" customWidth="1"/>
    <col min="2" max="7" width="27.54296875" style="2" customWidth="1"/>
    <col min="8" max="8" width="22" style="2" customWidth="1"/>
    <col min="9" max="11" width="8.7265625" style="2"/>
    <col min="12" max="12" width="37.81640625" style="2" customWidth="1"/>
    <col min="13" max="17" width="26.453125" style="2" customWidth="1"/>
    <col min="18" max="18" width="31" style="2" bestFit="1" customWidth="1"/>
    <col min="19" max="19" width="17.1796875" style="2" customWidth="1"/>
    <col min="20" max="20" width="30.453125" style="2" bestFit="1" customWidth="1"/>
    <col min="21" max="25" width="30.26953125" style="2" customWidth="1"/>
    <col min="26" max="26" width="22" style="2" bestFit="1" customWidth="1"/>
    <col min="27" max="28" width="8.7265625" style="2"/>
    <col min="29" max="29" width="27.453125" style="2" bestFit="1" customWidth="1"/>
    <col min="30" max="30" width="22" style="2" bestFit="1" customWidth="1"/>
    <col min="31" max="271" width="8.7265625" style="2"/>
    <col min="272" max="272" width="14.453125" style="2" customWidth="1"/>
    <col min="273" max="273" width="27.54296875" style="2" customWidth="1"/>
    <col min="274" max="274" width="22" style="2" customWidth="1"/>
    <col min="275" max="277" width="8.7265625" style="2"/>
    <col min="278" max="278" width="20.453125" style="2" customWidth="1"/>
    <col min="279" max="527" width="8.7265625" style="2"/>
    <col min="528" max="528" width="14.453125" style="2" customWidth="1"/>
    <col min="529" max="529" width="27.54296875" style="2" customWidth="1"/>
    <col min="530" max="530" width="22" style="2" customWidth="1"/>
    <col min="531" max="533" width="8.7265625" style="2"/>
    <col min="534" max="534" width="20.453125" style="2" customWidth="1"/>
    <col min="535" max="783" width="8.7265625" style="2"/>
    <col min="784" max="784" width="14.453125" style="2" customWidth="1"/>
    <col min="785" max="785" width="27.54296875" style="2" customWidth="1"/>
    <col min="786" max="786" width="22" style="2" customWidth="1"/>
    <col min="787" max="789" width="8.7265625" style="2"/>
    <col min="790" max="790" width="20.453125" style="2" customWidth="1"/>
    <col min="791" max="1039" width="8.7265625" style="2"/>
    <col min="1040" max="1040" width="14.453125" style="2" customWidth="1"/>
    <col min="1041" max="1041" width="27.54296875" style="2" customWidth="1"/>
    <col min="1042" max="1042" width="22" style="2" customWidth="1"/>
    <col min="1043" max="1045" width="8.7265625" style="2"/>
    <col min="1046" max="1046" width="20.453125" style="2" customWidth="1"/>
    <col min="1047" max="1295" width="8.7265625" style="2"/>
    <col min="1296" max="1296" width="14.453125" style="2" customWidth="1"/>
    <col min="1297" max="1297" width="27.54296875" style="2" customWidth="1"/>
    <col min="1298" max="1298" width="22" style="2" customWidth="1"/>
    <col min="1299" max="1301" width="8.7265625" style="2"/>
    <col min="1302" max="1302" width="20.453125" style="2" customWidth="1"/>
    <col min="1303" max="1551" width="8.7265625" style="2"/>
    <col min="1552" max="1552" width="14.453125" style="2" customWidth="1"/>
    <col min="1553" max="1553" width="27.54296875" style="2" customWidth="1"/>
    <col min="1554" max="1554" width="22" style="2" customWidth="1"/>
    <col min="1555" max="1557" width="8.7265625" style="2"/>
    <col min="1558" max="1558" width="20.453125" style="2" customWidth="1"/>
    <col min="1559" max="1807" width="8.7265625" style="2"/>
    <col min="1808" max="1808" width="14.453125" style="2" customWidth="1"/>
    <col min="1809" max="1809" width="27.54296875" style="2" customWidth="1"/>
    <col min="1810" max="1810" width="22" style="2" customWidth="1"/>
    <col min="1811" max="1813" width="8.7265625" style="2"/>
    <col min="1814" max="1814" width="20.453125" style="2" customWidth="1"/>
    <col min="1815" max="2063" width="8.7265625" style="2"/>
    <col min="2064" max="2064" width="14.453125" style="2" customWidth="1"/>
    <col min="2065" max="2065" width="27.54296875" style="2" customWidth="1"/>
    <col min="2066" max="2066" width="22" style="2" customWidth="1"/>
    <col min="2067" max="2069" width="8.7265625" style="2"/>
    <col min="2070" max="2070" width="20.453125" style="2" customWidth="1"/>
    <col min="2071" max="2319" width="8.7265625" style="2"/>
    <col min="2320" max="2320" width="14.453125" style="2" customWidth="1"/>
    <col min="2321" max="2321" width="27.54296875" style="2" customWidth="1"/>
    <col min="2322" max="2322" width="22" style="2" customWidth="1"/>
    <col min="2323" max="2325" width="8.7265625" style="2"/>
    <col min="2326" max="2326" width="20.453125" style="2" customWidth="1"/>
    <col min="2327" max="2575" width="8.7265625" style="2"/>
    <col min="2576" max="2576" width="14.453125" style="2" customWidth="1"/>
    <col min="2577" max="2577" width="27.54296875" style="2" customWidth="1"/>
    <col min="2578" max="2578" width="22" style="2" customWidth="1"/>
    <col min="2579" max="2581" width="8.7265625" style="2"/>
    <col min="2582" max="2582" width="20.453125" style="2" customWidth="1"/>
    <col min="2583" max="2831" width="8.7265625" style="2"/>
    <col min="2832" max="2832" width="14.453125" style="2" customWidth="1"/>
    <col min="2833" max="2833" width="27.54296875" style="2" customWidth="1"/>
    <col min="2834" max="2834" width="22" style="2" customWidth="1"/>
    <col min="2835" max="2837" width="8.7265625" style="2"/>
    <col min="2838" max="2838" width="20.453125" style="2" customWidth="1"/>
    <col min="2839" max="3087" width="8.7265625" style="2"/>
    <col min="3088" max="3088" width="14.453125" style="2" customWidth="1"/>
    <col min="3089" max="3089" width="27.54296875" style="2" customWidth="1"/>
    <col min="3090" max="3090" width="22" style="2" customWidth="1"/>
    <col min="3091" max="3093" width="8.7265625" style="2"/>
    <col min="3094" max="3094" width="20.453125" style="2" customWidth="1"/>
    <col min="3095" max="3343" width="8.7265625" style="2"/>
    <col min="3344" max="3344" width="14.453125" style="2" customWidth="1"/>
    <col min="3345" max="3345" width="27.54296875" style="2" customWidth="1"/>
    <col min="3346" max="3346" width="22" style="2" customWidth="1"/>
    <col min="3347" max="3349" width="8.7265625" style="2"/>
    <col min="3350" max="3350" width="20.453125" style="2" customWidth="1"/>
    <col min="3351" max="3599" width="8.7265625" style="2"/>
    <col min="3600" max="3600" width="14.453125" style="2" customWidth="1"/>
    <col min="3601" max="3601" width="27.54296875" style="2" customWidth="1"/>
    <col min="3602" max="3602" width="22" style="2" customWidth="1"/>
    <col min="3603" max="3605" width="8.7265625" style="2"/>
    <col min="3606" max="3606" width="20.453125" style="2" customWidth="1"/>
    <col min="3607" max="3855" width="8.7265625" style="2"/>
    <col min="3856" max="3856" width="14.453125" style="2" customWidth="1"/>
    <col min="3857" max="3857" width="27.54296875" style="2" customWidth="1"/>
    <col min="3858" max="3858" width="22" style="2" customWidth="1"/>
    <col min="3859" max="3861" width="8.7265625" style="2"/>
    <col min="3862" max="3862" width="20.453125" style="2" customWidth="1"/>
    <col min="3863" max="4111" width="8.7265625" style="2"/>
    <col min="4112" max="4112" width="14.453125" style="2" customWidth="1"/>
    <col min="4113" max="4113" width="27.54296875" style="2" customWidth="1"/>
    <col min="4114" max="4114" width="22" style="2" customWidth="1"/>
    <col min="4115" max="4117" width="8.7265625" style="2"/>
    <col min="4118" max="4118" width="20.453125" style="2" customWidth="1"/>
    <col min="4119" max="4367" width="8.7265625" style="2"/>
    <col min="4368" max="4368" width="14.453125" style="2" customWidth="1"/>
    <col min="4369" max="4369" width="27.54296875" style="2" customWidth="1"/>
    <col min="4370" max="4370" width="22" style="2" customWidth="1"/>
    <col min="4371" max="4373" width="8.7265625" style="2"/>
    <col min="4374" max="4374" width="20.453125" style="2" customWidth="1"/>
    <col min="4375" max="4623" width="8.7265625" style="2"/>
    <col min="4624" max="4624" width="14.453125" style="2" customWidth="1"/>
    <col min="4625" max="4625" width="27.54296875" style="2" customWidth="1"/>
    <col min="4626" max="4626" width="22" style="2" customWidth="1"/>
    <col min="4627" max="4629" width="8.7265625" style="2"/>
    <col min="4630" max="4630" width="20.453125" style="2" customWidth="1"/>
    <col min="4631" max="4879" width="8.7265625" style="2"/>
    <col min="4880" max="4880" width="14.453125" style="2" customWidth="1"/>
    <col min="4881" max="4881" width="27.54296875" style="2" customWidth="1"/>
    <col min="4882" max="4882" width="22" style="2" customWidth="1"/>
    <col min="4883" max="4885" width="8.7265625" style="2"/>
    <col min="4886" max="4886" width="20.453125" style="2" customWidth="1"/>
    <col min="4887" max="5135" width="8.7265625" style="2"/>
    <col min="5136" max="5136" width="14.453125" style="2" customWidth="1"/>
    <col min="5137" max="5137" width="27.54296875" style="2" customWidth="1"/>
    <col min="5138" max="5138" width="22" style="2" customWidth="1"/>
    <col min="5139" max="5141" width="8.7265625" style="2"/>
    <col min="5142" max="5142" width="20.453125" style="2" customWidth="1"/>
    <col min="5143" max="5391" width="8.7265625" style="2"/>
    <col min="5392" max="5392" width="14.453125" style="2" customWidth="1"/>
    <col min="5393" max="5393" width="27.54296875" style="2" customWidth="1"/>
    <col min="5394" max="5394" width="22" style="2" customWidth="1"/>
    <col min="5395" max="5397" width="8.7265625" style="2"/>
    <col min="5398" max="5398" width="20.453125" style="2" customWidth="1"/>
    <col min="5399" max="5647" width="8.7265625" style="2"/>
    <col min="5648" max="5648" width="14.453125" style="2" customWidth="1"/>
    <col min="5649" max="5649" width="27.54296875" style="2" customWidth="1"/>
    <col min="5650" max="5650" width="22" style="2" customWidth="1"/>
    <col min="5651" max="5653" width="8.7265625" style="2"/>
    <col min="5654" max="5654" width="20.453125" style="2" customWidth="1"/>
    <col min="5655" max="5903" width="8.7265625" style="2"/>
    <col min="5904" max="5904" width="14.453125" style="2" customWidth="1"/>
    <col min="5905" max="5905" width="27.54296875" style="2" customWidth="1"/>
    <col min="5906" max="5906" width="22" style="2" customWidth="1"/>
    <col min="5907" max="5909" width="8.7265625" style="2"/>
    <col min="5910" max="5910" width="20.453125" style="2" customWidth="1"/>
    <col min="5911" max="6159" width="8.7265625" style="2"/>
    <col min="6160" max="6160" width="14.453125" style="2" customWidth="1"/>
    <col min="6161" max="6161" width="27.54296875" style="2" customWidth="1"/>
    <col min="6162" max="6162" width="22" style="2" customWidth="1"/>
    <col min="6163" max="6165" width="8.7265625" style="2"/>
    <col min="6166" max="6166" width="20.453125" style="2" customWidth="1"/>
    <col min="6167" max="6415" width="8.7265625" style="2"/>
    <col min="6416" max="6416" width="14.453125" style="2" customWidth="1"/>
    <col min="6417" max="6417" width="27.54296875" style="2" customWidth="1"/>
    <col min="6418" max="6418" width="22" style="2" customWidth="1"/>
    <col min="6419" max="6421" width="8.7265625" style="2"/>
    <col min="6422" max="6422" width="20.453125" style="2" customWidth="1"/>
    <col min="6423" max="6671" width="8.7265625" style="2"/>
    <col min="6672" max="6672" width="14.453125" style="2" customWidth="1"/>
    <col min="6673" max="6673" width="27.54296875" style="2" customWidth="1"/>
    <col min="6674" max="6674" width="22" style="2" customWidth="1"/>
    <col min="6675" max="6677" width="8.7265625" style="2"/>
    <col min="6678" max="6678" width="20.453125" style="2" customWidth="1"/>
    <col min="6679" max="6927" width="8.7265625" style="2"/>
    <col min="6928" max="6928" width="14.453125" style="2" customWidth="1"/>
    <col min="6929" max="6929" width="27.54296875" style="2" customWidth="1"/>
    <col min="6930" max="6930" width="22" style="2" customWidth="1"/>
    <col min="6931" max="6933" width="8.7265625" style="2"/>
    <col min="6934" max="6934" width="20.453125" style="2" customWidth="1"/>
    <col min="6935" max="7183" width="8.7265625" style="2"/>
    <col min="7184" max="7184" width="14.453125" style="2" customWidth="1"/>
    <col min="7185" max="7185" width="27.54296875" style="2" customWidth="1"/>
    <col min="7186" max="7186" width="22" style="2" customWidth="1"/>
    <col min="7187" max="7189" width="8.7265625" style="2"/>
    <col min="7190" max="7190" width="20.453125" style="2" customWidth="1"/>
    <col min="7191" max="7439" width="8.7265625" style="2"/>
    <col min="7440" max="7440" width="14.453125" style="2" customWidth="1"/>
    <col min="7441" max="7441" width="27.54296875" style="2" customWidth="1"/>
    <col min="7442" max="7442" width="22" style="2" customWidth="1"/>
    <col min="7443" max="7445" width="8.7265625" style="2"/>
    <col min="7446" max="7446" width="20.453125" style="2" customWidth="1"/>
    <col min="7447" max="7695" width="8.7265625" style="2"/>
    <col min="7696" max="7696" width="14.453125" style="2" customWidth="1"/>
    <col min="7697" max="7697" width="27.54296875" style="2" customWidth="1"/>
    <col min="7698" max="7698" width="22" style="2" customWidth="1"/>
    <col min="7699" max="7701" width="8.7265625" style="2"/>
    <col min="7702" max="7702" width="20.453125" style="2" customWidth="1"/>
    <col min="7703" max="7951" width="8.7265625" style="2"/>
    <col min="7952" max="7952" width="14.453125" style="2" customWidth="1"/>
    <col min="7953" max="7953" width="27.54296875" style="2" customWidth="1"/>
    <col min="7954" max="7954" width="22" style="2" customWidth="1"/>
    <col min="7955" max="7957" width="8.7265625" style="2"/>
    <col min="7958" max="7958" width="20.453125" style="2" customWidth="1"/>
    <col min="7959" max="8207" width="8.7265625" style="2"/>
    <col min="8208" max="8208" width="14.453125" style="2" customWidth="1"/>
    <col min="8209" max="8209" width="27.54296875" style="2" customWidth="1"/>
    <col min="8210" max="8210" width="22" style="2" customWidth="1"/>
    <col min="8211" max="8213" width="8.7265625" style="2"/>
    <col min="8214" max="8214" width="20.453125" style="2" customWidth="1"/>
    <col min="8215" max="8463" width="8.7265625" style="2"/>
    <col min="8464" max="8464" width="14.453125" style="2" customWidth="1"/>
    <col min="8465" max="8465" width="27.54296875" style="2" customWidth="1"/>
    <col min="8466" max="8466" width="22" style="2" customWidth="1"/>
    <col min="8467" max="8469" width="8.7265625" style="2"/>
    <col min="8470" max="8470" width="20.453125" style="2" customWidth="1"/>
    <col min="8471" max="8719" width="8.7265625" style="2"/>
    <col min="8720" max="8720" width="14.453125" style="2" customWidth="1"/>
    <col min="8721" max="8721" width="27.54296875" style="2" customWidth="1"/>
    <col min="8722" max="8722" width="22" style="2" customWidth="1"/>
    <col min="8723" max="8725" width="8.7265625" style="2"/>
    <col min="8726" max="8726" width="20.453125" style="2" customWidth="1"/>
    <col min="8727" max="8975" width="8.7265625" style="2"/>
    <col min="8976" max="8976" width="14.453125" style="2" customWidth="1"/>
    <col min="8977" max="8977" width="27.54296875" style="2" customWidth="1"/>
    <col min="8978" max="8978" width="22" style="2" customWidth="1"/>
    <col min="8979" max="8981" width="8.7265625" style="2"/>
    <col min="8982" max="8982" width="20.453125" style="2" customWidth="1"/>
    <col min="8983" max="9231" width="8.7265625" style="2"/>
    <col min="9232" max="9232" width="14.453125" style="2" customWidth="1"/>
    <col min="9233" max="9233" width="27.54296875" style="2" customWidth="1"/>
    <col min="9234" max="9234" width="22" style="2" customWidth="1"/>
    <col min="9235" max="9237" width="8.7265625" style="2"/>
    <col min="9238" max="9238" width="20.453125" style="2" customWidth="1"/>
    <col min="9239" max="9487" width="8.7265625" style="2"/>
    <col min="9488" max="9488" width="14.453125" style="2" customWidth="1"/>
    <col min="9489" max="9489" width="27.54296875" style="2" customWidth="1"/>
    <col min="9490" max="9490" width="22" style="2" customWidth="1"/>
    <col min="9491" max="9493" width="8.7265625" style="2"/>
    <col min="9494" max="9494" width="20.453125" style="2" customWidth="1"/>
    <col min="9495" max="9743" width="8.7265625" style="2"/>
    <col min="9744" max="9744" width="14.453125" style="2" customWidth="1"/>
    <col min="9745" max="9745" width="27.54296875" style="2" customWidth="1"/>
    <col min="9746" max="9746" width="22" style="2" customWidth="1"/>
    <col min="9747" max="9749" width="8.7265625" style="2"/>
    <col min="9750" max="9750" width="20.453125" style="2" customWidth="1"/>
    <col min="9751" max="9999" width="8.7265625" style="2"/>
    <col min="10000" max="10000" width="14.453125" style="2" customWidth="1"/>
    <col min="10001" max="10001" width="27.54296875" style="2" customWidth="1"/>
    <col min="10002" max="10002" width="22" style="2" customWidth="1"/>
    <col min="10003" max="10005" width="8.7265625" style="2"/>
    <col min="10006" max="10006" width="20.453125" style="2" customWidth="1"/>
    <col min="10007" max="10255" width="8.7265625" style="2"/>
    <col min="10256" max="10256" width="14.453125" style="2" customWidth="1"/>
    <col min="10257" max="10257" width="27.54296875" style="2" customWidth="1"/>
    <col min="10258" max="10258" width="22" style="2" customWidth="1"/>
    <col min="10259" max="10261" width="8.7265625" style="2"/>
    <col min="10262" max="10262" width="20.453125" style="2" customWidth="1"/>
    <col min="10263" max="10511" width="8.7265625" style="2"/>
    <col min="10512" max="10512" width="14.453125" style="2" customWidth="1"/>
    <col min="10513" max="10513" width="27.54296875" style="2" customWidth="1"/>
    <col min="10514" max="10514" width="22" style="2" customWidth="1"/>
    <col min="10515" max="10517" width="8.7265625" style="2"/>
    <col min="10518" max="10518" width="20.453125" style="2" customWidth="1"/>
    <col min="10519" max="10767" width="8.7265625" style="2"/>
    <col min="10768" max="10768" width="14.453125" style="2" customWidth="1"/>
    <col min="10769" max="10769" width="27.54296875" style="2" customWidth="1"/>
    <col min="10770" max="10770" width="22" style="2" customWidth="1"/>
    <col min="10771" max="10773" width="8.7265625" style="2"/>
    <col min="10774" max="10774" width="20.453125" style="2" customWidth="1"/>
    <col min="10775" max="11023" width="8.7265625" style="2"/>
    <col min="11024" max="11024" width="14.453125" style="2" customWidth="1"/>
    <col min="11025" max="11025" width="27.54296875" style="2" customWidth="1"/>
    <col min="11026" max="11026" width="22" style="2" customWidth="1"/>
    <col min="11027" max="11029" width="8.7265625" style="2"/>
    <col min="11030" max="11030" width="20.453125" style="2" customWidth="1"/>
    <col min="11031" max="11279" width="8.7265625" style="2"/>
    <col min="11280" max="11280" width="14.453125" style="2" customWidth="1"/>
    <col min="11281" max="11281" width="27.54296875" style="2" customWidth="1"/>
    <col min="11282" max="11282" width="22" style="2" customWidth="1"/>
    <col min="11283" max="11285" width="8.7265625" style="2"/>
    <col min="11286" max="11286" width="20.453125" style="2" customWidth="1"/>
    <col min="11287" max="11535" width="8.7265625" style="2"/>
    <col min="11536" max="11536" width="14.453125" style="2" customWidth="1"/>
    <col min="11537" max="11537" width="27.54296875" style="2" customWidth="1"/>
    <col min="11538" max="11538" width="22" style="2" customWidth="1"/>
    <col min="11539" max="11541" width="8.7265625" style="2"/>
    <col min="11542" max="11542" width="20.453125" style="2" customWidth="1"/>
    <col min="11543" max="11791" width="8.7265625" style="2"/>
    <col min="11792" max="11792" width="14.453125" style="2" customWidth="1"/>
    <col min="11793" max="11793" width="27.54296875" style="2" customWidth="1"/>
    <col min="11794" max="11794" width="22" style="2" customWidth="1"/>
    <col min="11795" max="11797" width="8.7265625" style="2"/>
    <col min="11798" max="11798" width="20.453125" style="2" customWidth="1"/>
    <col min="11799" max="12047" width="8.7265625" style="2"/>
    <col min="12048" max="12048" width="14.453125" style="2" customWidth="1"/>
    <col min="12049" max="12049" width="27.54296875" style="2" customWidth="1"/>
    <col min="12050" max="12050" width="22" style="2" customWidth="1"/>
    <col min="12051" max="12053" width="8.7265625" style="2"/>
    <col min="12054" max="12054" width="20.453125" style="2" customWidth="1"/>
    <col min="12055" max="12303" width="8.7265625" style="2"/>
    <col min="12304" max="12304" width="14.453125" style="2" customWidth="1"/>
    <col min="12305" max="12305" width="27.54296875" style="2" customWidth="1"/>
    <col min="12306" max="12306" width="22" style="2" customWidth="1"/>
    <col min="12307" max="12309" width="8.7265625" style="2"/>
    <col min="12310" max="12310" width="20.453125" style="2" customWidth="1"/>
    <col min="12311" max="12559" width="8.7265625" style="2"/>
    <col min="12560" max="12560" width="14.453125" style="2" customWidth="1"/>
    <col min="12561" max="12561" width="27.54296875" style="2" customWidth="1"/>
    <col min="12562" max="12562" width="22" style="2" customWidth="1"/>
    <col min="12563" max="12565" width="8.7265625" style="2"/>
    <col min="12566" max="12566" width="20.453125" style="2" customWidth="1"/>
    <col min="12567" max="12815" width="8.7265625" style="2"/>
    <col min="12816" max="12816" width="14.453125" style="2" customWidth="1"/>
    <col min="12817" max="12817" width="27.54296875" style="2" customWidth="1"/>
    <col min="12818" max="12818" width="22" style="2" customWidth="1"/>
    <col min="12819" max="12821" width="8.7265625" style="2"/>
    <col min="12822" max="12822" width="20.453125" style="2" customWidth="1"/>
    <col min="12823" max="13071" width="8.7265625" style="2"/>
    <col min="13072" max="13072" width="14.453125" style="2" customWidth="1"/>
    <col min="13073" max="13073" width="27.54296875" style="2" customWidth="1"/>
    <col min="13074" max="13074" width="22" style="2" customWidth="1"/>
    <col min="13075" max="13077" width="8.7265625" style="2"/>
    <col min="13078" max="13078" width="20.453125" style="2" customWidth="1"/>
    <col min="13079" max="13327" width="8.7265625" style="2"/>
    <col min="13328" max="13328" width="14.453125" style="2" customWidth="1"/>
    <col min="13329" max="13329" width="27.54296875" style="2" customWidth="1"/>
    <col min="13330" max="13330" width="22" style="2" customWidth="1"/>
    <col min="13331" max="13333" width="8.7265625" style="2"/>
    <col min="13334" max="13334" width="20.453125" style="2" customWidth="1"/>
    <col min="13335" max="13583" width="8.7265625" style="2"/>
    <col min="13584" max="13584" width="14.453125" style="2" customWidth="1"/>
    <col min="13585" max="13585" width="27.54296875" style="2" customWidth="1"/>
    <col min="13586" max="13586" width="22" style="2" customWidth="1"/>
    <col min="13587" max="13589" width="8.7265625" style="2"/>
    <col min="13590" max="13590" width="20.453125" style="2" customWidth="1"/>
    <col min="13591" max="13839" width="8.7265625" style="2"/>
    <col min="13840" max="13840" width="14.453125" style="2" customWidth="1"/>
    <col min="13841" max="13841" width="27.54296875" style="2" customWidth="1"/>
    <col min="13842" max="13842" width="22" style="2" customWidth="1"/>
    <col min="13843" max="13845" width="8.7265625" style="2"/>
    <col min="13846" max="13846" width="20.453125" style="2" customWidth="1"/>
    <col min="13847" max="14095" width="8.7265625" style="2"/>
    <col min="14096" max="14096" width="14.453125" style="2" customWidth="1"/>
    <col min="14097" max="14097" width="27.54296875" style="2" customWidth="1"/>
    <col min="14098" max="14098" width="22" style="2" customWidth="1"/>
    <col min="14099" max="14101" width="8.7265625" style="2"/>
    <col min="14102" max="14102" width="20.453125" style="2" customWidth="1"/>
    <col min="14103" max="14351" width="8.7265625" style="2"/>
    <col min="14352" max="14352" width="14.453125" style="2" customWidth="1"/>
    <col min="14353" max="14353" width="27.54296875" style="2" customWidth="1"/>
    <col min="14354" max="14354" width="22" style="2" customWidth="1"/>
    <col min="14355" max="14357" width="8.7265625" style="2"/>
    <col min="14358" max="14358" width="20.453125" style="2" customWidth="1"/>
    <col min="14359" max="14607" width="8.7265625" style="2"/>
    <col min="14608" max="14608" width="14.453125" style="2" customWidth="1"/>
    <col min="14609" max="14609" width="27.54296875" style="2" customWidth="1"/>
    <col min="14610" max="14610" width="22" style="2" customWidth="1"/>
    <col min="14611" max="14613" width="8.7265625" style="2"/>
    <col min="14614" max="14614" width="20.453125" style="2" customWidth="1"/>
    <col min="14615" max="14863" width="8.7265625" style="2"/>
    <col min="14864" max="14864" width="14.453125" style="2" customWidth="1"/>
    <col min="14865" max="14865" width="27.54296875" style="2" customWidth="1"/>
    <col min="14866" max="14866" width="22" style="2" customWidth="1"/>
    <col min="14867" max="14869" width="8.7265625" style="2"/>
    <col min="14870" max="14870" width="20.453125" style="2" customWidth="1"/>
    <col min="14871" max="15119" width="8.7265625" style="2"/>
    <col min="15120" max="15120" width="14.453125" style="2" customWidth="1"/>
    <col min="15121" max="15121" width="27.54296875" style="2" customWidth="1"/>
    <col min="15122" max="15122" width="22" style="2" customWidth="1"/>
    <col min="15123" max="15125" width="8.7265625" style="2"/>
    <col min="15126" max="15126" width="20.453125" style="2" customWidth="1"/>
    <col min="15127" max="15375" width="8.7265625" style="2"/>
    <col min="15376" max="15376" width="14.453125" style="2" customWidth="1"/>
    <col min="15377" max="15377" width="27.54296875" style="2" customWidth="1"/>
    <col min="15378" max="15378" width="22" style="2" customWidth="1"/>
    <col min="15379" max="15381" width="8.7265625" style="2"/>
    <col min="15382" max="15382" width="20.453125" style="2" customWidth="1"/>
    <col min="15383" max="15631" width="8.7265625" style="2"/>
    <col min="15632" max="15632" width="14.453125" style="2" customWidth="1"/>
    <col min="15633" max="15633" width="27.54296875" style="2" customWidth="1"/>
    <col min="15634" max="15634" width="22" style="2" customWidth="1"/>
    <col min="15635" max="15637" width="8.7265625" style="2"/>
    <col min="15638" max="15638" width="20.453125" style="2" customWidth="1"/>
    <col min="15639" max="15887" width="8.7265625" style="2"/>
    <col min="15888" max="15888" width="14.453125" style="2" customWidth="1"/>
    <col min="15889" max="15889" width="27.54296875" style="2" customWidth="1"/>
    <col min="15890" max="15890" width="22" style="2" customWidth="1"/>
    <col min="15891" max="15893" width="8.7265625" style="2"/>
    <col min="15894" max="15894" width="20.453125" style="2" customWidth="1"/>
    <col min="15895" max="16143" width="8.7265625" style="2"/>
    <col min="16144" max="16144" width="14.453125" style="2" customWidth="1"/>
    <col min="16145" max="16145" width="27.54296875" style="2" customWidth="1"/>
    <col min="16146" max="16146" width="22" style="2" customWidth="1"/>
    <col min="16147" max="16149" width="8.7265625" style="2"/>
    <col min="16150" max="16150" width="20.453125" style="2" customWidth="1"/>
    <col min="16151" max="16384" width="8.7265625" style="2"/>
  </cols>
  <sheetData>
    <row r="1" spans="1:33" x14ac:dyDescent="0.35">
      <c r="U1" s="2">
        <f>AC12*V11/(100-AC12)</f>
        <v>3734.7231419354839</v>
      </c>
      <c r="V1" s="2">
        <f>AD12*W11/(100-AD12)</f>
        <v>4066.4131817204297</v>
      </c>
      <c r="W1" s="2">
        <f>AE12*X11/(100-AE12)</f>
        <v>4278.685088172042</v>
      </c>
      <c r="X1" s="2">
        <f>AF12*Y11/(100-AF12)</f>
        <v>3723.9972510638304</v>
      </c>
      <c r="Y1" s="2">
        <f>AG12*Z11/(100-AG12)</f>
        <v>5310.2874608695647</v>
      </c>
      <c r="Z1" s="2">
        <f>AG12*Z11/(100-AG12)</f>
        <v>5310.2874608695647</v>
      </c>
    </row>
    <row r="2" spans="1:33" x14ac:dyDescent="0.35">
      <c r="N2" s="467" t="s">
        <v>171</v>
      </c>
      <c r="O2" s="468"/>
      <c r="P2" s="468"/>
      <c r="Q2" s="468"/>
      <c r="R2" s="468"/>
      <c r="V2" s="467" t="s">
        <v>172</v>
      </c>
      <c r="W2" s="468"/>
      <c r="X2" s="468"/>
      <c r="Y2" s="468"/>
      <c r="Z2" s="468"/>
    </row>
    <row r="3" spans="1:33" x14ac:dyDescent="0.35">
      <c r="A3" s="1" t="s">
        <v>173</v>
      </c>
      <c r="B3" s="1" t="s">
        <v>174</v>
      </c>
      <c r="C3" s="1">
        <v>2018</v>
      </c>
      <c r="D3" s="72">
        <v>2019</v>
      </c>
      <c r="E3" s="72">
        <v>2020</v>
      </c>
      <c r="F3" s="72">
        <v>2021</v>
      </c>
      <c r="G3" s="72">
        <v>2022</v>
      </c>
      <c r="H3" s="72">
        <v>2023</v>
      </c>
      <c r="I3" s="1" t="s">
        <v>175</v>
      </c>
      <c r="L3" s="40"/>
      <c r="M3" s="40">
        <v>2018</v>
      </c>
      <c r="N3" s="40">
        <v>2019</v>
      </c>
      <c r="O3" s="40">
        <v>2020</v>
      </c>
      <c r="P3" s="40">
        <v>2021</v>
      </c>
      <c r="Q3" s="40">
        <v>2022</v>
      </c>
      <c r="R3" s="40">
        <v>2023</v>
      </c>
      <c r="T3" s="47"/>
      <c r="U3" s="47">
        <v>2018</v>
      </c>
      <c r="V3" s="47">
        <v>2019</v>
      </c>
      <c r="W3" s="47">
        <v>2020</v>
      </c>
      <c r="X3" s="47">
        <v>2021</v>
      </c>
      <c r="Y3" s="47">
        <v>2022</v>
      </c>
      <c r="Z3" s="47">
        <v>2023</v>
      </c>
      <c r="AC3" s="47"/>
      <c r="AD3" s="47" t="s">
        <v>176</v>
      </c>
    </row>
    <row r="4" spans="1:33" x14ac:dyDescent="0.35">
      <c r="A4" s="3" t="s">
        <v>177</v>
      </c>
      <c r="B4" s="4" t="s">
        <v>178</v>
      </c>
      <c r="C4" s="71">
        <f>Sheet2!F7</f>
        <v>108205.1</v>
      </c>
      <c r="D4" s="71">
        <f>Sheet2!G7</f>
        <v>117038.9</v>
      </c>
      <c r="E4" s="71">
        <f>Sheet2!H7</f>
        <v>123641.3</v>
      </c>
      <c r="F4" s="71">
        <f>Sheet2!I7</f>
        <v>128093.1</v>
      </c>
      <c r="G4" s="71">
        <f>Sheet2!J7</f>
        <v>132877.6</v>
      </c>
      <c r="H4" s="5">
        <v>140248.79999999999</v>
      </c>
      <c r="I4" s="3" t="s">
        <v>0</v>
      </c>
      <c r="L4" s="41" t="s">
        <v>179</v>
      </c>
      <c r="M4" s="42">
        <f>'baby food'!M8</f>
        <v>18.2</v>
      </c>
      <c r="N4" s="42">
        <f>'baby food'!N8</f>
        <v>19</v>
      </c>
      <c r="O4" s="42">
        <f>'baby food'!O8</f>
        <v>19.899999999999999</v>
      </c>
      <c r="P4" s="42">
        <f>'baby food'!P8</f>
        <v>21.1</v>
      </c>
      <c r="Q4" s="42">
        <f>'baby food'!Q8</f>
        <v>22.4</v>
      </c>
      <c r="R4" s="42">
        <f>'baby food'!R8</f>
        <v>23.2</v>
      </c>
      <c r="S4" s="39"/>
      <c r="T4" s="48" t="s">
        <v>179</v>
      </c>
      <c r="U4" s="49">
        <f>M4*C5/100</f>
        <v>6030.5518000000002</v>
      </c>
      <c r="V4" s="49">
        <f t="shared" ref="V4:Z4" si="0">N4*D5/100</f>
        <v>6282.73</v>
      </c>
      <c r="W4" s="49">
        <f t="shared" si="0"/>
        <v>6582.5418999999993</v>
      </c>
      <c r="X4" s="49">
        <f t="shared" si="0"/>
        <v>6853.1112000000012</v>
      </c>
      <c r="Y4" s="49">
        <f t="shared" si="0"/>
        <v>7271.4431999999997</v>
      </c>
      <c r="Z4" s="49">
        <f t="shared" si="0"/>
        <v>7773.786399999999</v>
      </c>
      <c r="AC4" s="87" t="s">
        <v>179</v>
      </c>
      <c r="AD4" s="94">
        <f>Y16</f>
        <v>0.12463346266107922</v>
      </c>
    </row>
    <row r="5" spans="1:33" x14ac:dyDescent="0.35">
      <c r="A5" s="8" t="s">
        <v>177</v>
      </c>
      <c r="B5" s="6" t="s">
        <v>179</v>
      </c>
      <c r="C5" s="71">
        <f>Sheet2!F8</f>
        <v>33134.9</v>
      </c>
      <c r="D5" s="71">
        <f>Sheet2!G8</f>
        <v>33067</v>
      </c>
      <c r="E5" s="71">
        <f>Sheet2!H8</f>
        <v>33078.1</v>
      </c>
      <c r="F5" s="71">
        <f>Sheet2!I8</f>
        <v>32479.200000000001</v>
      </c>
      <c r="G5" s="71">
        <f>Sheet2!J8</f>
        <v>32461.8</v>
      </c>
      <c r="H5" s="7">
        <v>33507.699999999997</v>
      </c>
      <c r="I5" s="8" t="s">
        <v>0</v>
      </c>
      <c r="L5" s="43" t="s">
        <v>180</v>
      </c>
      <c r="M5" s="42">
        <f>'drinking milk'!E3</f>
        <v>45.3</v>
      </c>
      <c r="N5" s="42">
        <f>'drinking milk'!F3</f>
        <v>48</v>
      </c>
      <c r="O5" s="42">
        <f>'drinking milk'!G3</f>
        <v>48.3</v>
      </c>
      <c r="P5" s="42">
        <f>'drinking milk'!H3</f>
        <v>47.9</v>
      </c>
      <c r="Q5" s="42">
        <f>'drinking milk'!I3</f>
        <v>46.1</v>
      </c>
      <c r="R5" s="42">
        <f>'drinking milk'!J3</f>
        <v>44.8</v>
      </c>
      <c r="S5" s="39"/>
      <c r="T5" s="48" t="s">
        <v>180</v>
      </c>
      <c r="U5" s="49">
        <f t="shared" ref="U5:Z6" si="1">M5*C11/100</f>
        <v>20287.740900000001</v>
      </c>
      <c r="V5" s="49">
        <f t="shared" si="1"/>
        <v>24016.704000000005</v>
      </c>
      <c r="W5" s="49">
        <f t="shared" si="1"/>
        <v>26157.1548</v>
      </c>
      <c r="X5" s="49">
        <f t="shared" si="1"/>
        <v>27401.003399999998</v>
      </c>
      <c r="Y5" s="49">
        <f t="shared" si="1"/>
        <v>27325.682800000002</v>
      </c>
      <c r="Z5" s="49">
        <f t="shared" si="1"/>
        <v>28002.374400000001</v>
      </c>
      <c r="AC5" s="87" t="s">
        <v>180</v>
      </c>
      <c r="AD5" s="94">
        <f t="shared" ref="AD5:AD8" si="2">Y17</f>
        <v>0.46836568384970606</v>
      </c>
    </row>
    <row r="6" spans="1:33" x14ac:dyDescent="0.35">
      <c r="A6" s="3" t="s">
        <v>177</v>
      </c>
      <c r="B6" s="6" t="s">
        <v>181</v>
      </c>
      <c r="C6" s="71">
        <f>Sheet2!F9</f>
        <v>69764.3</v>
      </c>
      <c r="D6" s="71">
        <f>Sheet2!G9</f>
        <v>78195.199999999997</v>
      </c>
      <c r="E6" s="71">
        <f>Sheet2!H9</f>
        <v>85067.199999999997</v>
      </c>
      <c r="F6" s="71">
        <f>Sheet2!I9</f>
        <v>90188.7</v>
      </c>
      <c r="G6" s="71">
        <f>Sheet2!J9</f>
        <v>94712.9</v>
      </c>
      <c r="H6" s="5">
        <v>100734.2</v>
      </c>
      <c r="I6" s="3" t="s">
        <v>0</v>
      </c>
      <c r="L6" s="43" t="s">
        <v>182</v>
      </c>
      <c r="M6" s="42">
        <f>'yogurt and sour milk'!E7</f>
        <v>66.8</v>
      </c>
      <c r="N6" s="42">
        <f>'yogurt and sour milk'!F7</f>
        <v>66</v>
      </c>
      <c r="O6" s="42">
        <f>'yogurt and sour milk'!G7</f>
        <v>65.8</v>
      </c>
      <c r="P6" s="42">
        <f>'yogurt and sour milk'!H7</f>
        <v>65.5</v>
      </c>
      <c r="Q6" s="42">
        <f>'yogurt and sour milk'!I7</f>
        <v>63.6</v>
      </c>
      <c r="R6" s="42">
        <f>'yogurt and sour milk'!J7</f>
        <v>62.5</v>
      </c>
      <c r="S6" s="39"/>
      <c r="T6" s="48" t="s">
        <v>182</v>
      </c>
      <c r="U6" s="49">
        <f t="shared" si="1"/>
        <v>9900.5616000000009</v>
      </c>
      <c r="V6" s="49">
        <f t="shared" si="1"/>
        <v>11235.972</v>
      </c>
      <c r="W6" s="49">
        <f t="shared" si="1"/>
        <v>12499.762799999999</v>
      </c>
      <c r="X6" s="49">
        <f t="shared" si="1"/>
        <v>13519.2</v>
      </c>
      <c r="Y6" s="49">
        <f t="shared" si="1"/>
        <v>14228.146799999999</v>
      </c>
      <c r="Z6" s="49">
        <f t="shared" si="1"/>
        <v>15174.625</v>
      </c>
      <c r="AC6" s="87" t="s">
        <v>182</v>
      </c>
      <c r="AD6" s="94">
        <f t="shared" si="2"/>
        <v>0.24387224848763911</v>
      </c>
    </row>
    <row r="7" spans="1:33" x14ac:dyDescent="0.35">
      <c r="A7" s="3"/>
      <c r="B7" s="6" t="s">
        <v>145</v>
      </c>
      <c r="C7" s="71">
        <f>C14</f>
        <v>7515.4</v>
      </c>
      <c r="D7" s="71">
        <f t="shared" ref="D7:H7" si="3">D14</f>
        <v>8187.9</v>
      </c>
      <c r="E7" s="71">
        <f t="shared" si="3"/>
        <v>8759.2999999999993</v>
      </c>
      <c r="F7" s="71">
        <f t="shared" si="3"/>
        <v>9022.9</v>
      </c>
      <c r="G7" s="71">
        <f t="shared" si="3"/>
        <v>9492.4</v>
      </c>
      <c r="H7" s="71">
        <f t="shared" si="3"/>
        <v>10078.5</v>
      </c>
      <c r="I7" s="3"/>
      <c r="L7" s="6" t="s">
        <v>145</v>
      </c>
      <c r="M7" s="42">
        <f>'Condensed milk'!D7</f>
        <v>79.3</v>
      </c>
      <c r="N7" s="42">
        <f>'Condensed milk'!E7</f>
        <v>79.8</v>
      </c>
      <c r="O7" s="42">
        <f>'Condensed milk'!F7</f>
        <v>81.599999999999994</v>
      </c>
      <c r="P7" s="42">
        <f>'Condensed milk'!G7</f>
        <v>82</v>
      </c>
      <c r="Q7" s="42">
        <f>'Condensed milk'!H7</f>
        <v>82.2</v>
      </c>
      <c r="R7" s="42">
        <f>'Condensed milk'!I7</f>
        <v>82.8</v>
      </c>
      <c r="S7" s="39"/>
      <c r="T7" s="6" t="s">
        <v>145</v>
      </c>
      <c r="U7" s="49">
        <f>M7*C7/100</f>
        <v>5959.7121999999999</v>
      </c>
      <c r="V7" s="49">
        <f t="shared" ref="V7:Z8" si="4">N7*D7/100</f>
        <v>6533.944199999999</v>
      </c>
      <c r="W7" s="49">
        <f t="shared" si="4"/>
        <v>7147.5887999999986</v>
      </c>
      <c r="X7" s="49">
        <f t="shared" si="4"/>
        <v>7398.7779999999993</v>
      </c>
      <c r="Y7" s="49">
        <f t="shared" si="4"/>
        <v>7802.7528000000002</v>
      </c>
      <c r="Z7" s="49">
        <f t="shared" si="4"/>
        <v>8344.9979999999996</v>
      </c>
      <c r="AC7" s="87" t="s">
        <v>145</v>
      </c>
      <c r="AD7" s="94">
        <f t="shared" si="2"/>
        <v>0.13374017688158951</v>
      </c>
    </row>
    <row r="8" spans="1:33" x14ac:dyDescent="0.35">
      <c r="A8" s="3"/>
      <c r="B8" s="6" t="s">
        <v>183</v>
      </c>
      <c r="C8" s="71">
        <f>SUM(C15,C9:C10)</f>
        <v>7948.2</v>
      </c>
      <c r="D8" s="71">
        <f t="shared" ref="D8:H8" si="5">SUM(D15,C9:C10)</f>
        <v>8419.0999999999985</v>
      </c>
      <c r="E8" s="71">
        <f t="shared" si="5"/>
        <v>8444.1</v>
      </c>
      <c r="F8" s="71">
        <f t="shared" si="5"/>
        <v>8581</v>
      </c>
      <c r="G8" s="71">
        <f t="shared" si="5"/>
        <v>9024.2000000000007</v>
      </c>
      <c r="H8" s="71">
        <f t="shared" si="5"/>
        <v>9581.1999999999989</v>
      </c>
      <c r="I8" s="3"/>
      <c r="L8" s="6" t="s">
        <v>183</v>
      </c>
      <c r="M8" s="44">
        <f>SUM(cheese!E8,'butter spreads'!E12,'plant-based dairy'!E8)</f>
        <v>18.2</v>
      </c>
      <c r="N8" s="44">
        <f>SUM(cheese!F8,'butter spreads'!F12,'plant-based dairy'!F8)</f>
        <v>18.399999999999999</v>
      </c>
      <c r="O8" s="44">
        <f>SUM(cheese!G8,'butter spreads'!G12,'plant-based dairy'!G8)</f>
        <v>19.399999999999999</v>
      </c>
      <c r="P8" s="44">
        <f>SUM(cheese!H8,'butter spreads'!H12,'plant-based dairy'!H8)</f>
        <v>19.5</v>
      </c>
      <c r="Q8" s="44">
        <f>SUM(cheese!I8,'butter spreads'!I12,'plant-based dairy'!I8)</f>
        <v>19</v>
      </c>
      <c r="R8" s="44">
        <f>SUM(cheese!J8,'butter spreads'!J12,'plant-based dairy'!J8)</f>
        <v>18.5</v>
      </c>
      <c r="S8" s="39"/>
      <c r="T8" s="6" t="s">
        <v>183</v>
      </c>
      <c r="U8" s="49">
        <f>M8*C8/100</f>
        <v>1446.5724</v>
      </c>
      <c r="V8" s="49">
        <f t="shared" si="4"/>
        <v>1549.1143999999997</v>
      </c>
      <c r="W8" s="49">
        <f t="shared" si="4"/>
        <v>1638.1554000000001</v>
      </c>
      <c r="X8" s="49">
        <f t="shared" si="4"/>
        <v>1673.2950000000001</v>
      </c>
      <c r="Y8" s="49">
        <f t="shared" si="4"/>
        <v>1714.5980000000002</v>
      </c>
      <c r="Z8" s="49">
        <f>R8*H8/100</f>
        <v>1772.5219999999999</v>
      </c>
      <c r="AC8" s="87" t="s">
        <v>183</v>
      </c>
      <c r="AD8" s="94">
        <f t="shared" si="2"/>
        <v>2.9388428119986019E-2</v>
      </c>
    </row>
    <row r="9" spans="1:33" x14ac:dyDescent="0.35">
      <c r="A9" s="3" t="s">
        <v>177</v>
      </c>
      <c r="B9" s="89" t="s">
        <v>184</v>
      </c>
      <c r="C9" s="71">
        <f>Sheet2!F10</f>
        <v>778.4</v>
      </c>
      <c r="D9" s="71">
        <f>Sheet2!G10</f>
        <v>863.3</v>
      </c>
      <c r="E9" s="71">
        <f>Sheet2!H10</f>
        <v>932.8</v>
      </c>
      <c r="F9" s="71">
        <f>Sheet2!I10</f>
        <v>979</v>
      </c>
      <c r="G9" s="71">
        <f>Sheet2!J10</f>
        <v>1058.4000000000001</v>
      </c>
      <c r="H9" s="5">
        <v>1153.5999999999999</v>
      </c>
      <c r="I9" s="3" t="s">
        <v>0</v>
      </c>
      <c r="L9" s="45" t="s">
        <v>185</v>
      </c>
      <c r="M9" s="46">
        <f>'Condensed milk'!D7</f>
        <v>79.3</v>
      </c>
      <c r="N9" s="46">
        <f>'Condensed milk'!E7</f>
        <v>79.8</v>
      </c>
      <c r="O9" s="46">
        <f>'Condensed milk'!F7</f>
        <v>81.599999999999994</v>
      </c>
      <c r="P9" s="46">
        <f>'Condensed milk'!G7</f>
        <v>82</v>
      </c>
      <c r="Q9" s="46">
        <f>'Condensed milk'!H7</f>
        <v>82.2</v>
      </c>
      <c r="R9" s="46">
        <f>'Condensed milk'!I7</f>
        <v>82.8</v>
      </c>
      <c r="S9" s="39"/>
      <c r="T9" s="6" t="s">
        <v>186</v>
      </c>
      <c r="U9" s="49">
        <v>0</v>
      </c>
      <c r="V9" s="49"/>
      <c r="W9" s="49"/>
      <c r="X9" s="49"/>
      <c r="Y9" s="49"/>
      <c r="Z9" s="49"/>
      <c r="AC9" s="50"/>
      <c r="AD9" s="49"/>
    </row>
    <row r="10" spans="1:33" x14ac:dyDescent="0.35">
      <c r="A10" s="3" t="s">
        <v>177</v>
      </c>
      <c r="B10" s="9" t="s">
        <v>187</v>
      </c>
      <c r="C10" s="71">
        <f>Sheet2!F11</f>
        <v>1864</v>
      </c>
      <c r="D10" s="71">
        <f>Sheet2!G11</f>
        <v>2084.9</v>
      </c>
      <c r="E10" s="71">
        <f>Sheet2!H11</f>
        <v>2223</v>
      </c>
      <c r="F10" s="71">
        <f>Sheet2!I11</f>
        <v>2342.3000000000002</v>
      </c>
      <c r="G10" s="71">
        <f>Sheet2!J11</f>
        <v>2515.9</v>
      </c>
      <c r="H10" s="5">
        <v>2717.4</v>
      </c>
      <c r="I10" s="3" t="s">
        <v>0</v>
      </c>
      <c r="T10" s="50" t="s">
        <v>185</v>
      </c>
      <c r="U10" s="49">
        <f t="shared" ref="U10:Z10" si="6">M9*C13/100</f>
        <v>10784.482799999998</v>
      </c>
      <c r="V10" s="49">
        <f t="shared" si="6"/>
        <v>11832.664199999997</v>
      </c>
      <c r="W10" s="49">
        <f t="shared" si="6"/>
        <v>12393.407999999998</v>
      </c>
      <c r="X10" s="49">
        <f t="shared" si="6"/>
        <v>12650.222</v>
      </c>
      <c r="Y10" s="49">
        <f t="shared" si="6"/>
        <v>13360.541399999998</v>
      </c>
      <c r="Z10" s="49">
        <f t="shared" si="6"/>
        <v>14273.892</v>
      </c>
    </row>
    <row r="11" spans="1:33" x14ac:dyDescent="0.35">
      <c r="A11" s="8" t="s">
        <v>177</v>
      </c>
      <c r="B11" s="9" t="s">
        <v>180</v>
      </c>
      <c r="C11" s="71">
        <f>Sheet2!F12</f>
        <v>44785.3</v>
      </c>
      <c r="D11" s="71">
        <f>Sheet2!G12</f>
        <v>50034.8</v>
      </c>
      <c r="E11" s="71">
        <f>Sheet2!H12</f>
        <v>54155.6</v>
      </c>
      <c r="F11" s="71">
        <f>Sheet2!I12</f>
        <v>57204.6</v>
      </c>
      <c r="G11" s="71">
        <f>Sheet2!J12</f>
        <v>59274.8</v>
      </c>
      <c r="H11" s="7">
        <v>62505.3</v>
      </c>
      <c r="I11" s="8" t="s">
        <v>0</v>
      </c>
      <c r="T11" s="2" t="s">
        <v>188</v>
      </c>
      <c r="U11" s="75">
        <f t="shared" ref="U11:Z11" si="7">SUM(U4:U8)</f>
        <v>43625.138900000005</v>
      </c>
      <c r="V11" s="75">
        <f t="shared" si="7"/>
        <v>49618.464599999999</v>
      </c>
      <c r="W11" s="75">
        <f t="shared" si="7"/>
        <v>54025.203699999998</v>
      </c>
      <c r="X11" s="75">
        <f t="shared" si="7"/>
        <v>56845.387599999995</v>
      </c>
      <c r="Y11" s="75">
        <f t="shared" si="7"/>
        <v>58342.623600000006</v>
      </c>
      <c r="Z11" s="299">
        <f t="shared" si="7"/>
        <v>61068.305799999995</v>
      </c>
    </row>
    <row r="12" spans="1:33" x14ac:dyDescent="0.35">
      <c r="A12" s="8" t="s">
        <v>177</v>
      </c>
      <c r="B12" s="9" t="s">
        <v>182</v>
      </c>
      <c r="C12" s="71">
        <f>Sheet2!F13</f>
        <v>14821.2</v>
      </c>
      <c r="D12" s="71">
        <f>Sheet2!G13</f>
        <v>17024.2</v>
      </c>
      <c r="E12" s="71">
        <f>Sheet2!H13</f>
        <v>18996.599999999999</v>
      </c>
      <c r="F12" s="71">
        <f>Sheet2!I13</f>
        <v>20640</v>
      </c>
      <c r="G12" s="71">
        <f>Sheet2!J13</f>
        <v>22371.3</v>
      </c>
      <c r="H12" s="7">
        <v>24279.4</v>
      </c>
      <c r="I12" s="8" t="s">
        <v>0</v>
      </c>
      <c r="U12" s="75"/>
      <c r="V12" s="75" t="s">
        <v>189</v>
      </c>
      <c r="W12" s="75"/>
      <c r="X12" s="75"/>
      <c r="Y12" s="75"/>
      <c r="Z12" s="75"/>
      <c r="AA12" s="2" t="s">
        <v>190</v>
      </c>
      <c r="AB12" s="2" t="str">
        <f>U11&amp;":"&amp;TEXT(U13,"0.0")</f>
        <v>43625.1389:0.0</v>
      </c>
      <c r="AC12" s="2">
        <v>7</v>
      </c>
      <c r="AD12" s="2">
        <v>7</v>
      </c>
      <c r="AE12" s="2">
        <v>7</v>
      </c>
      <c r="AF12" s="2">
        <v>6</v>
      </c>
      <c r="AG12" s="2">
        <v>8</v>
      </c>
    </row>
    <row r="13" spans="1:33" x14ac:dyDescent="0.35">
      <c r="A13" s="3" t="s">
        <v>177</v>
      </c>
      <c r="B13" s="9" t="s">
        <v>191</v>
      </c>
      <c r="C13" s="71">
        <f>SUM(C9,C14,C15)</f>
        <v>13599.599999999999</v>
      </c>
      <c r="D13" s="71">
        <f t="shared" ref="D13:H13" si="8">SUM(D9,D14,D15)</f>
        <v>14827.899999999998</v>
      </c>
      <c r="E13" s="71">
        <f t="shared" si="8"/>
        <v>15187.999999999998</v>
      </c>
      <c r="F13" s="71">
        <f t="shared" si="8"/>
        <v>15427.099999999999</v>
      </c>
      <c r="G13" s="71">
        <f t="shared" si="8"/>
        <v>16253.699999999999</v>
      </c>
      <c r="H13" s="71">
        <f t="shared" si="8"/>
        <v>17239</v>
      </c>
      <c r="I13" s="8"/>
      <c r="T13" s="2" t="s">
        <v>192</v>
      </c>
      <c r="U13" s="76">
        <f>_xlfn.RRI(2,W11,Y11)</f>
        <v>3.9189550209582702E-2</v>
      </c>
      <c r="V13" s="2" t="s">
        <v>193</v>
      </c>
      <c r="W13" s="97">
        <v>0.15</v>
      </c>
      <c r="X13" s="2">
        <v>1</v>
      </c>
      <c r="Y13" s="11">
        <f>U11+W14</f>
        <v>52376.53244000001</v>
      </c>
      <c r="Z13" s="2" t="s">
        <v>194</v>
      </c>
      <c r="AA13" s="11">
        <f>AVERAGE(Y13:Y14)</f>
        <v>59735.27479000001</v>
      </c>
    </row>
    <row r="14" spans="1:33" x14ac:dyDescent="0.35">
      <c r="A14" s="3" t="s">
        <v>177</v>
      </c>
      <c r="B14" s="89" t="s">
        <v>195</v>
      </c>
      <c r="C14" s="71">
        <f>Sheet2!F14</f>
        <v>7515.4</v>
      </c>
      <c r="D14" s="71">
        <f>Sheet2!G14</f>
        <v>8187.9</v>
      </c>
      <c r="E14" s="71">
        <f>Sheet2!H14</f>
        <v>8759.2999999999993</v>
      </c>
      <c r="F14" s="71">
        <f>Sheet2!I14</f>
        <v>9022.9</v>
      </c>
      <c r="G14" s="71">
        <f>Sheet2!J14</f>
        <v>9492.4</v>
      </c>
      <c r="H14" s="5">
        <v>10078.5</v>
      </c>
      <c r="I14" s="3" t="s">
        <v>0</v>
      </c>
      <c r="T14" s="2" t="s">
        <v>196</v>
      </c>
      <c r="U14" s="76">
        <f>U13/5</f>
        <v>7.8379100419165397E-3</v>
      </c>
      <c r="V14" s="2" t="s">
        <v>193</v>
      </c>
      <c r="W14" s="2">
        <f>MAX(U11:Y11)*W13</f>
        <v>8751.3935400000009</v>
      </c>
      <c r="X14" s="2">
        <v>4</v>
      </c>
      <c r="Y14" s="11">
        <f>Y11+W14</f>
        <v>67094.017140000011</v>
      </c>
      <c r="Z14" s="11">
        <v>2.5</v>
      </c>
    </row>
    <row r="15" spans="1:33" x14ac:dyDescent="0.35">
      <c r="A15" s="3" t="s">
        <v>177</v>
      </c>
      <c r="B15" s="88" t="s">
        <v>197</v>
      </c>
      <c r="C15" s="71">
        <f>Sheet2!F15</f>
        <v>5305.8</v>
      </c>
      <c r="D15" s="71">
        <f>Sheet2!G15</f>
        <v>5776.7</v>
      </c>
      <c r="E15" s="71">
        <f>Sheet2!H15</f>
        <v>5495.9</v>
      </c>
      <c r="F15" s="71">
        <f>Sheet2!I15</f>
        <v>5425.2</v>
      </c>
      <c r="G15" s="71">
        <f>Sheet2!J15</f>
        <v>5702.9</v>
      </c>
      <c r="H15" s="5">
        <v>6006.9</v>
      </c>
      <c r="I15" s="3" t="s">
        <v>0</v>
      </c>
      <c r="T15" s="91"/>
      <c r="U15" s="91">
        <v>2018</v>
      </c>
      <c r="V15" s="91">
        <v>2019</v>
      </c>
      <c r="W15" s="91">
        <v>2020</v>
      </c>
      <c r="X15" s="91">
        <v>2021</v>
      </c>
      <c r="Y15" s="91">
        <v>2022</v>
      </c>
      <c r="Z15" s="91">
        <v>2023</v>
      </c>
    </row>
    <row r="16" spans="1:33" x14ac:dyDescent="0.35">
      <c r="A16" s="3" t="s">
        <v>177</v>
      </c>
      <c r="B16" s="10" t="s">
        <v>198</v>
      </c>
      <c r="C16" s="71">
        <f>Sheet2!F16</f>
        <v>5305.8</v>
      </c>
      <c r="D16" s="71">
        <f>Sheet2!G16</f>
        <v>5776.7</v>
      </c>
      <c r="E16" s="71">
        <f>Sheet2!H16</f>
        <v>5495.9</v>
      </c>
      <c r="F16" s="71">
        <f>Sheet2!I16</f>
        <v>5425.2</v>
      </c>
      <c r="G16" s="71">
        <f>Sheet2!J16</f>
        <v>5702.9</v>
      </c>
      <c r="H16" s="5">
        <v>6006.9</v>
      </c>
      <c r="I16" s="3" t="s">
        <v>0</v>
      </c>
      <c r="M16" s="2">
        <v>2018</v>
      </c>
      <c r="N16" s="2">
        <v>2019</v>
      </c>
      <c r="O16" s="2">
        <v>2020</v>
      </c>
      <c r="P16" s="2">
        <v>2021</v>
      </c>
      <c r="Q16" s="2">
        <v>2022</v>
      </c>
      <c r="T16" s="87" t="s">
        <v>179</v>
      </c>
      <c r="U16" s="93">
        <f>U4/$U$11</f>
        <v>0.13823570427646248</v>
      </c>
      <c r="V16" s="93">
        <f>V4/$V$11</f>
        <v>0.12662080640036572</v>
      </c>
      <c r="W16" s="93">
        <f>W4/$W$11</f>
        <v>0.12184205609945714</v>
      </c>
      <c r="X16" s="93">
        <f>X4/$X$11</f>
        <v>0.12055703178985804</v>
      </c>
      <c r="Y16" s="93">
        <f>Y4/$Y$11</f>
        <v>0.12463346266107922</v>
      </c>
      <c r="Z16" s="93">
        <f>Z4/$Z$11</f>
        <v>0.12729657877622011</v>
      </c>
    </row>
    <row r="17" spans="1:26" x14ac:dyDescent="0.35">
      <c r="A17" s="3" t="s">
        <v>177</v>
      </c>
      <c r="B17" s="12" t="s">
        <v>199</v>
      </c>
      <c r="C17" s="71">
        <f>Sheet2!F17</f>
        <v>5149.8</v>
      </c>
      <c r="D17" s="71">
        <f>Sheet2!G17</f>
        <v>5606.7</v>
      </c>
      <c r="E17" s="71">
        <f>Sheet2!H17</f>
        <v>5313.2</v>
      </c>
      <c r="F17" s="71">
        <f>Sheet2!I17</f>
        <v>5235.1000000000004</v>
      </c>
      <c r="G17" s="71">
        <f>Sheet2!J17</f>
        <v>5500</v>
      </c>
      <c r="H17" s="5">
        <v>5787.1</v>
      </c>
      <c r="I17" s="3" t="s">
        <v>0</v>
      </c>
      <c r="L17" s="2" t="s">
        <v>179</v>
      </c>
      <c r="M17" s="300">
        <f>U16*'BS IS'!$J$22*Domes!$H$7/1000</f>
        <v>6720.9928131646411</v>
      </c>
      <c r="N17" s="300">
        <f>V16*'BS IS'!$K$22*Domes!$I$7/1000</f>
        <v>6560.5624572777851</v>
      </c>
      <c r="O17" s="300">
        <f>W16*'BS IS'!$L$22*Domes!$J$7/1000</f>
        <v>6721.2421265471248</v>
      </c>
      <c r="P17" s="300">
        <f>X16*'BS IS'!$M$22*Domes!$K$7/1000</f>
        <v>6756.6950145952778</v>
      </c>
      <c r="Q17" s="300">
        <f>Y16*'BS IS'!$N$22*Domes!$L$7/1000</f>
        <v>6912.1130713899711</v>
      </c>
      <c r="R17" s="300"/>
      <c r="T17" s="87" t="s">
        <v>180</v>
      </c>
      <c r="U17" s="93">
        <f>U5/$U$11</f>
        <v>0.46504702131733494</v>
      </c>
      <c r="V17" s="93">
        <f>V5/$V$11</f>
        <v>0.48402755292028937</v>
      </c>
      <c r="W17" s="93">
        <f>W5/$W$11</f>
        <v>0.48416577835133645</v>
      </c>
      <c r="X17" s="93">
        <f>X5/$X$11</f>
        <v>0.48202685489297287</v>
      </c>
      <c r="Y17" s="93">
        <f>Y5/$Y$11</f>
        <v>0.46836568384970606</v>
      </c>
      <c r="Z17" s="93">
        <f>Z5/$Z$11</f>
        <v>0.45854185789447599</v>
      </c>
    </row>
    <row r="18" spans="1:26" x14ac:dyDescent="0.35">
      <c r="A18" s="3" t="s">
        <v>177</v>
      </c>
      <c r="B18" s="12" t="s">
        <v>200</v>
      </c>
      <c r="C18" s="71">
        <f>Sheet2!F18</f>
        <v>156</v>
      </c>
      <c r="D18" s="71">
        <f>Sheet2!G18</f>
        <v>170</v>
      </c>
      <c r="E18" s="71">
        <f>Sheet2!H18</f>
        <v>182.8</v>
      </c>
      <c r="F18" s="71">
        <f>Sheet2!I18</f>
        <v>190.1</v>
      </c>
      <c r="G18" s="71">
        <f>Sheet2!J18</f>
        <v>202.9</v>
      </c>
      <c r="H18" s="5">
        <v>219.8</v>
      </c>
      <c r="I18" s="3" t="s">
        <v>0</v>
      </c>
      <c r="L18" s="2" t="s">
        <v>180</v>
      </c>
      <c r="M18" s="300">
        <f>U17*'BS IS'!$J$22*Domes!$H$7/1000</f>
        <v>22610.49491097089</v>
      </c>
      <c r="N18" s="300">
        <f>V17*'BS IS'!$K$22*Domes!$I$7/1000</f>
        <v>25078.761399893556</v>
      </c>
      <c r="O18" s="300">
        <f>W17*'BS IS'!$L$22*Domes!$J$7/1000</f>
        <v>26708.310166984938</v>
      </c>
      <c r="P18" s="300">
        <f>X17*'BS IS'!$M$22*Domes!$K$7/1000</f>
        <v>27015.499627043584</v>
      </c>
      <c r="Q18" s="300">
        <f>Y17*'BS IS'!$N$22*Domes!$L$7/1000</f>
        <v>25975.339980175617</v>
      </c>
      <c r="T18" s="87" t="s">
        <v>182</v>
      </c>
      <c r="U18" s="93">
        <f>U6/$U$11</f>
        <v>0.22694624818718914</v>
      </c>
      <c r="V18" s="93">
        <f>V6/$V$11</f>
        <v>0.22644739394052107</v>
      </c>
      <c r="W18" s="93">
        <f>W6/$W$11</f>
        <v>0.23136910078878609</v>
      </c>
      <c r="X18" s="93">
        <f>X6/$X$11</f>
        <v>0.23782404467235971</v>
      </c>
      <c r="Y18" s="93">
        <f>Y6/$Y$11</f>
        <v>0.24387224848763911</v>
      </c>
      <c r="Z18" s="93">
        <f>Z6/$Z$11</f>
        <v>0.24848609767720134</v>
      </c>
    </row>
    <row r="19" spans="1:26" x14ac:dyDescent="0.35">
      <c r="A19" s="3" t="s">
        <v>177</v>
      </c>
      <c r="B19" s="10" t="s">
        <v>201</v>
      </c>
      <c r="C19" s="71" t="str">
        <f>Sheet2!F19</f>
        <v>-</v>
      </c>
      <c r="D19" s="71" t="str">
        <f>Sheet2!G19</f>
        <v>-</v>
      </c>
      <c r="E19" s="71" t="str">
        <f>Sheet2!H19</f>
        <v>-</v>
      </c>
      <c r="F19" s="71" t="str">
        <f>Sheet2!I19</f>
        <v>-</v>
      </c>
      <c r="G19" s="71" t="str">
        <f>Sheet2!J19</f>
        <v>-</v>
      </c>
      <c r="H19" s="13" t="s">
        <v>202</v>
      </c>
      <c r="I19" s="3" t="s">
        <v>0</v>
      </c>
      <c r="L19" s="2" t="s">
        <v>182</v>
      </c>
      <c r="M19" s="300">
        <f>U18*'BS IS'!$J$22*Domes!$H$7/1000</f>
        <v>11034.082048659928</v>
      </c>
      <c r="N19" s="300">
        <f>V18*'BS IS'!$K$22*Domes!$I$7/1000</f>
        <v>11732.844810173981</v>
      </c>
      <c r="O19" s="300">
        <f>W18*'BS IS'!$L$22*Domes!$J$7/1000</f>
        <v>12763.144326237656</v>
      </c>
      <c r="P19" s="300">
        <f>X18*'BS IS'!$M$22*Domes!$K$7/1000</f>
        <v>13328.998840893822</v>
      </c>
      <c r="Q19" s="300">
        <f>Y18*'BS IS'!$N$22*Domes!$L$7/1000</f>
        <v>13525.039909262496</v>
      </c>
      <c r="T19" s="87" t="s">
        <v>145</v>
      </c>
      <c r="U19" s="93">
        <f>U7/$U$11</f>
        <v>0.13661187907415462</v>
      </c>
      <c r="V19" s="93">
        <f>V7/$V$11</f>
        <v>0.13168372404655179</v>
      </c>
      <c r="W19" s="93">
        <f>W7/$W$11</f>
        <v>0.13230100602101014</v>
      </c>
      <c r="X19" s="93">
        <f>X7/$X$11</f>
        <v>0.13015617119303449</v>
      </c>
      <c r="Y19" s="93">
        <f>Y7/$Y$11</f>
        <v>0.13374017688158951</v>
      </c>
      <c r="Z19" s="93">
        <f>Z7/$Z$11</f>
        <v>0.136650229455031</v>
      </c>
    </row>
    <row r="20" spans="1:26" x14ac:dyDescent="0.35">
      <c r="B20" s="10" t="s">
        <v>203</v>
      </c>
      <c r="C20" s="71" t="str">
        <f>Sheet2!F20</f>
        <v>-</v>
      </c>
      <c r="D20" s="71" t="str">
        <f>Sheet2!G20</f>
        <v>-</v>
      </c>
      <c r="E20" s="71" t="str">
        <f>Sheet2!H20</f>
        <v>-</v>
      </c>
      <c r="F20" s="71" t="str">
        <f>Sheet2!I20</f>
        <v>-</v>
      </c>
      <c r="G20" s="71" t="str">
        <f>Sheet2!J20</f>
        <v>-</v>
      </c>
      <c r="H20" s="13" t="s">
        <v>202</v>
      </c>
      <c r="I20" s="3" t="s">
        <v>0</v>
      </c>
      <c r="L20" s="2" t="s">
        <v>145</v>
      </c>
      <c r="M20" s="300">
        <f>U19*'BS IS'!$J$22*Domes!$H$7/1000</f>
        <v>6642.0427505041298</v>
      </c>
      <c r="N20" s="300">
        <f>V19*'BS IS'!$K$22*Domes!$I$7/1000</f>
        <v>6822.8857545156197</v>
      </c>
      <c r="O20" s="300">
        <f>W19*'BS IS'!$L$22*Domes!$J$7/1000</f>
        <v>7298.1950856699314</v>
      </c>
      <c r="P20" s="300">
        <f>X19*'BS IS'!$M$22*Domes!$K$7/1000</f>
        <v>7294.6848471825779</v>
      </c>
      <c r="Q20" s="300">
        <f>Y19*'BS IS'!$N$22*Domes!$L$7/1000</f>
        <v>7417.1671480160494</v>
      </c>
      <c r="T20" s="87" t="s">
        <v>183</v>
      </c>
      <c r="U20" s="93">
        <f>U8/$U$11</f>
        <v>3.3159147144858715E-2</v>
      </c>
      <c r="V20" s="93">
        <f>V8/$V$11</f>
        <v>3.1220522692272098E-2</v>
      </c>
      <c r="W20" s="93">
        <f>W8/$W$11</f>
        <v>3.0322058739410178E-2</v>
      </c>
      <c r="X20" s="93">
        <f>X8/$X$11</f>
        <v>2.9435897451774967E-2</v>
      </c>
      <c r="Y20" s="93">
        <f>Y8/$Y$11</f>
        <v>2.9388428119986019E-2</v>
      </c>
      <c r="Z20" s="93">
        <f>Z8/$Z$11</f>
        <v>2.9025236197071643E-2</v>
      </c>
    </row>
    <row r="21" spans="1:26" x14ac:dyDescent="0.35">
      <c r="A21" s="2">
        <v>781213</v>
      </c>
      <c r="B21" s="2">
        <v>789101213</v>
      </c>
      <c r="C21" s="90">
        <f>SUM(C5,C9:C12,C14,C15)</f>
        <v>108205</v>
      </c>
      <c r="D21" s="90">
        <f>C21-C14-C15-C9</f>
        <v>94605.400000000009</v>
      </c>
      <c r="H21" s="11">
        <f>SUM(H4:H20)</f>
        <v>430144.30000000005</v>
      </c>
      <c r="L21" s="2" t="s">
        <v>183</v>
      </c>
      <c r="M21" s="300">
        <f>U20*'BS IS'!$J$22*Domes!$H$7/1000</f>
        <v>1612.1912267004036</v>
      </c>
      <c r="N21" s="300">
        <f>V20*'BS IS'!$K$22*Domes!$I$7/1000</f>
        <v>1617.6187381390573</v>
      </c>
      <c r="O21" s="300">
        <f>W20*'BS IS'!$L$22*Domes!$J$7/1000</f>
        <v>1672.6728445603449</v>
      </c>
      <c r="P21" s="300">
        <f>X20*'BS IS'!$M$22*Domes!$K$7/1000</f>
        <v>1649.7534702847379</v>
      </c>
      <c r="Q21" s="300">
        <f>Y20*'BS IS'!$N$22*Domes!$L$7/1000</f>
        <v>1629.8683661558553</v>
      </c>
      <c r="T21" s="92" t="s">
        <v>185</v>
      </c>
      <c r="U21" s="77">
        <f>U10/$U$11</f>
        <v>0.24720798768620073</v>
      </c>
      <c r="V21" s="77">
        <f>V10/$V$11</f>
        <v>0.23847300184294695</v>
      </c>
      <c r="W21" s="77">
        <f>W10/$W$11</f>
        <v>0.2294004862771114</v>
      </c>
      <c r="X21" s="77">
        <f>X10/$X$11</f>
        <v>0.22253735147370163</v>
      </c>
      <c r="Y21" s="77">
        <f>Y10/$Y$11</f>
        <v>0.22900138141884996</v>
      </c>
      <c r="Z21" s="77">
        <f>Z10/$Z$11</f>
        <v>0.23373649904006344</v>
      </c>
    </row>
    <row r="22" spans="1:26" x14ac:dyDescent="0.35">
      <c r="A22" s="2">
        <v>11</v>
      </c>
      <c r="B22" s="2">
        <v>91011</v>
      </c>
      <c r="C22" s="90">
        <f>SUM(C5,C10:C13)</f>
        <v>108205</v>
      </c>
      <c r="D22" s="90">
        <f>SUM(C14,C15,C9)</f>
        <v>13599.6</v>
      </c>
      <c r="L22" s="2" t="s">
        <v>204</v>
      </c>
      <c r="M22" s="302">
        <f>'BS IS'!J22/1000-SUM(M17:M21)</f>
        <v>3942.1462500000052</v>
      </c>
      <c r="N22" s="302">
        <f>'BS IS'!K22/1000-SUM(N17:N21)</f>
        <v>4505.4498400000011</v>
      </c>
      <c r="O22" s="302">
        <f>'BS IS'!L22/1000-SUM(O17:O21)</f>
        <v>4472.7214500000046</v>
      </c>
      <c r="P22" s="302">
        <f>'BS IS'!M22/1000-SUM(P17:P21)</f>
        <v>4873.533199999998</v>
      </c>
      <c r="Q22" s="302">
        <f>'BS IS'!N22/1000-SUM(Q17:Q21)</f>
        <v>4496.7185250000184</v>
      </c>
      <c r="R22" s="302"/>
      <c r="T22" s="48" t="s">
        <v>187</v>
      </c>
      <c r="U22" s="77">
        <f>U8/$U$11</f>
        <v>3.3159147144858715E-2</v>
      </c>
      <c r="V22" s="76">
        <f>V8/$V$11</f>
        <v>3.1220522692272098E-2</v>
      </c>
      <c r="W22" s="76">
        <f>W8/$W$11</f>
        <v>3.0322058739410178E-2</v>
      </c>
      <c r="X22" s="76">
        <f>X8/$X$11</f>
        <v>2.9435897451774967E-2</v>
      </c>
      <c r="Y22" s="76">
        <f>Y8/$Y$11</f>
        <v>2.9388428119986019E-2</v>
      </c>
      <c r="Z22" s="76">
        <f>Z8/$Z$11</f>
        <v>2.9025236197071643E-2</v>
      </c>
    </row>
    <row r="23" spans="1:26" x14ac:dyDescent="0.35">
      <c r="E23" s="86">
        <f>AVERAGE(C25,U13)</f>
        <v>4.5940397785287579E-2</v>
      </c>
      <c r="T23" s="50" t="s">
        <v>185</v>
      </c>
      <c r="U23" s="77">
        <f>U11/$U$11</f>
        <v>1</v>
      </c>
      <c r="V23" s="76">
        <f>V10/$V$11</f>
        <v>0.23847300184294695</v>
      </c>
      <c r="W23" s="76">
        <f>W10/$W$11</f>
        <v>0.2294004862771114</v>
      </c>
      <c r="X23" s="76">
        <f>X10/$X$11</f>
        <v>0.22253735147370163</v>
      </c>
      <c r="Y23" s="76">
        <f>Y10/$Y$11</f>
        <v>0.22900138141884996</v>
      </c>
    </row>
    <row r="24" spans="1:26" x14ac:dyDescent="0.35">
      <c r="B24" s="90">
        <f>SUM(C5,C7:C8,C11:C12)</f>
        <v>108205</v>
      </c>
      <c r="C24" s="90">
        <f>SUM(C5:C13)</f>
        <v>194211.30000000002</v>
      </c>
      <c r="D24" s="437">
        <f>2.17%/C25</f>
        <v>0.41183312049907628</v>
      </c>
    </row>
    <row r="25" spans="1:26" x14ac:dyDescent="0.35">
      <c r="C25" s="76">
        <f>_xlfn.RRI(4,C4,G4)</f>
        <v>5.2691245360992456E-2</v>
      </c>
    </row>
    <row r="29" spans="1:26" x14ac:dyDescent="0.35">
      <c r="U29" s="86">
        <f>SUM(U16:U20)</f>
        <v>0.99999999999999978</v>
      </c>
      <c r="V29" s="86">
        <f t="shared" ref="V29:Z29" si="9">SUM(V16:V20)</f>
        <v>1</v>
      </c>
      <c r="W29" s="86">
        <f t="shared" si="9"/>
        <v>1</v>
      </c>
      <c r="X29" s="86">
        <f t="shared" si="9"/>
        <v>1</v>
      </c>
      <c r="Y29" s="86">
        <f t="shared" si="9"/>
        <v>0.99999999999999989</v>
      </c>
      <c r="Z29" s="86">
        <f t="shared" si="9"/>
        <v>1</v>
      </c>
    </row>
    <row r="37" spans="1:17" x14ac:dyDescent="0.35">
      <c r="M37" s="2">
        <v>2018</v>
      </c>
      <c r="N37" s="2">
        <v>2019</v>
      </c>
      <c r="O37" s="2">
        <v>2020</v>
      </c>
      <c r="P37" s="2">
        <v>2021</v>
      </c>
      <c r="Q37" s="2">
        <v>2022</v>
      </c>
    </row>
    <row r="38" spans="1:17" x14ac:dyDescent="0.35">
      <c r="L38" s="2" t="s">
        <v>177</v>
      </c>
      <c r="M38" s="2">
        <v>108205.1</v>
      </c>
      <c r="N38" s="2">
        <v>117038.9</v>
      </c>
      <c r="O38" s="2">
        <v>123641.3</v>
      </c>
      <c r="P38" s="2">
        <v>128093.1</v>
      </c>
      <c r="Q38" s="2">
        <v>132877.6</v>
      </c>
    </row>
    <row r="39" spans="1:17" x14ac:dyDescent="0.35">
      <c r="L39" s="2" t="s">
        <v>205</v>
      </c>
      <c r="M39" s="90">
        <f>SUM(M17:M22)</f>
        <v>52561.95</v>
      </c>
      <c r="N39" s="90">
        <f>SUM(N17:N22)</f>
        <v>56318.123</v>
      </c>
      <c r="O39" s="90">
        <f>SUM(O17:O22)</f>
        <v>59636.286</v>
      </c>
      <c r="P39" s="90">
        <f>SUM(P17:P22)</f>
        <v>60919.165000000001</v>
      </c>
      <c r="Q39" s="90">
        <f>SUM(Q17:Q22)</f>
        <v>59956.247000000003</v>
      </c>
    </row>
    <row r="44" spans="1:17" x14ac:dyDescent="0.35">
      <c r="A44" s="99" t="s">
        <v>206</v>
      </c>
      <c r="B44"/>
      <c r="C44"/>
      <c r="D44"/>
      <c r="E44"/>
      <c r="F44"/>
      <c r="G44"/>
      <c r="M44" s="2">
        <f>SLOPE(M39:Q39,M38:Q38)</f>
        <v>0.33533205643638936</v>
      </c>
    </row>
    <row r="46" spans="1:17" x14ac:dyDescent="0.35">
      <c r="A46" s="100" t="s">
        <v>207</v>
      </c>
      <c r="B46"/>
      <c r="C46"/>
      <c r="D46"/>
      <c r="E46"/>
      <c r="F46"/>
      <c r="G46"/>
    </row>
    <row r="47" spans="1:17" ht="15" thickBot="1" x14ac:dyDescent="0.4">
      <c r="A47" s="100" t="s">
        <v>208</v>
      </c>
      <c r="B47"/>
      <c r="C47"/>
      <c r="D47"/>
      <c r="E47"/>
      <c r="F47"/>
      <c r="G47"/>
    </row>
    <row r="48" spans="1:17" ht="15" thickBot="1" x14ac:dyDescent="0.35">
      <c r="A48" s="475"/>
      <c r="B48" s="476"/>
      <c r="C48" s="102">
        <v>2020</v>
      </c>
      <c r="D48" s="102">
        <v>2021</v>
      </c>
      <c r="E48" s="102">
        <v>2022</v>
      </c>
    </row>
    <row r="49" spans="1:23" ht="15" thickBot="1" x14ac:dyDescent="0.35">
      <c r="A49" s="145"/>
      <c r="B49" s="160" t="s">
        <v>209</v>
      </c>
      <c r="C49" s="145" t="s">
        <v>210</v>
      </c>
      <c r="D49" s="145" t="s">
        <v>211</v>
      </c>
      <c r="E49" s="145" t="s">
        <v>212</v>
      </c>
      <c r="H49" s="2">
        <v>2020</v>
      </c>
      <c r="I49" s="2">
        <v>2021</v>
      </c>
      <c r="J49" s="2">
        <v>2022</v>
      </c>
    </row>
    <row r="50" spans="1:23" ht="15" thickBot="1" x14ac:dyDescent="0.4">
      <c r="A50" s="473" t="s">
        <v>213</v>
      </c>
      <c r="B50" s="474"/>
      <c r="C50" s="161">
        <v>0.85</v>
      </c>
      <c r="D50" s="161">
        <v>0.84</v>
      </c>
      <c r="E50" s="161">
        <v>0.85</v>
      </c>
      <c r="G50" s="2" t="s">
        <v>214</v>
      </c>
      <c r="H50" s="161">
        <v>0.85</v>
      </c>
      <c r="I50" s="161">
        <v>0.84</v>
      </c>
      <c r="J50" s="161">
        <v>0.85</v>
      </c>
      <c r="L50" t="s">
        <v>215</v>
      </c>
      <c r="M50"/>
      <c r="N50"/>
      <c r="O50"/>
      <c r="P50"/>
      <c r="Q50"/>
      <c r="R50"/>
      <c r="S50"/>
      <c r="T50"/>
      <c r="U50" s="2">
        <v>123641.3</v>
      </c>
      <c r="V50" s="2">
        <v>128093.1</v>
      </c>
      <c r="W50" s="2">
        <v>132877.6</v>
      </c>
    </row>
    <row r="51" spans="1:23" ht="15" thickBot="1" x14ac:dyDescent="0.4">
      <c r="A51" s="471" t="s">
        <v>216</v>
      </c>
      <c r="B51" s="472"/>
      <c r="C51" s="162">
        <v>50841840</v>
      </c>
      <c r="D51" s="162">
        <v>51202029</v>
      </c>
      <c r="E51" s="162">
        <v>50704403</v>
      </c>
      <c r="G51" s="2" t="s">
        <v>204</v>
      </c>
      <c r="H51" s="161">
        <v>0.15</v>
      </c>
      <c r="I51" s="161">
        <v>0.16</v>
      </c>
      <c r="J51" s="161">
        <v>0.15</v>
      </c>
      <c r="L51"/>
      <c r="M51"/>
      <c r="N51"/>
      <c r="O51"/>
      <c r="P51"/>
      <c r="Q51"/>
      <c r="R51"/>
      <c r="S51"/>
      <c r="T51"/>
      <c r="U51" s="2">
        <v>59636.286</v>
      </c>
      <c r="V51" s="2">
        <v>60919.165000000001</v>
      </c>
      <c r="W51" s="2">
        <v>59956.247000000003</v>
      </c>
    </row>
    <row r="52" spans="1:23" ht="15" thickBot="1" x14ac:dyDescent="0.4">
      <c r="A52" s="471" t="s">
        <v>217</v>
      </c>
      <c r="B52" s="472"/>
      <c r="C52" s="162">
        <v>50841840</v>
      </c>
      <c r="D52" s="162">
        <v>51202029</v>
      </c>
      <c r="E52" s="162">
        <v>50704403</v>
      </c>
      <c r="L52" s="434" t="s">
        <v>218</v>
      </c>
      <c r="M52" s="434"/>
      <c r="N52"/>
      <c r="O52"/>
      <c r="P52"/>
      <c r="Q52"/>
      <c r="R52"/>
      <c r="S52"/>
      <c r="T52"/>
    </row>
    <row r="53" spans="1:23" ht="15" thickBot="1" x14ac:dyDescent="0.4">
      <c r="A53" s="471" t="s">
        <v>219</v>
      </c>
      <c r="B53" s="472"/>
      <c r="C53" s="162">
        <v>27342508</v>
      </c>
      <c r="D53" s="162">
        <v>29154535</v>
      </c>
      <c r="E53" s="162">
        <v>30148859</v>
      </c>
      <c r="L53" t="s">
        <v>220</v>
      </c>
      <c r="M53">
        <v>0.94120608899985403</v>
      </c>
      <c r="N53"/>
      <c r="O53"/>
      <c r="P53"/>
      <c r="Q53"/>
      <c r="R53"/>
      <c r="S53"/>
      <c r="T53"/>
    </row>
    <row r="54" spans="1:23" ht="15" thickBot="1" x14ac:dyDescent="0.4">
      <c r="A54" s="471" t="s">
        <v>221</v>
      </c>
      <c r="B54" s="472"/>
      <c r="C54" s="162">
        <v>23499332</v>
      </c>
      <c r="D54" s="162">
        <v>22047494</v>
      </c>
      <c r="E54" s="162">
        <v>20555545</v>
      </c>
      <c r="L54" t="s">
        <v>222</v>
      </c>
      <c r="M54">
        <v>0.88586890197040113</v>
      </c>
      <c r="N54"/>
      <c r="O54"/>
      <c r="P54"/>
      <c r="Q54"/>
      <c r="R54"/>
      <c r="S54"/>
      <c r="T54"/>
    </row>
    <row r="55" spans="1:23" ht="15" thickBot="1" x14ac:dyDescent="0.4">
      <c r="A55" s="471" t="s">
        <v>223</v>
      </c>
      <c r="B55" s="472"/>
      <c r="C55" s="163">
        <v>0.4622</v>
      </c>
      <c r="D55" s="163">
        <v>0.43059999999999998</v>
      </c>
      <c r="E55" s="163">
        <v>0.40539999999999998</v>
      </c>
      <c r="L55" t="s">
        <v>224</v>
      </c>
      <c r="M55">
        <v>0.84782520262720151</v>
      </c>
      <c r="N55"/>
      <c r="O55"/>
      <c r="P55"/>
      <c r="Q55"/>
      <c r="R55"/>
      <c r="S55"/>
      <c r="T55"/>
    </row>
    <row r="56" spans="1:23" ht="15" thickBot="1" x14ac:dyDescent="0.4">
      <c r="A56" s="473" t="s">
        <v>225</v>
      </c>
      <c r="B56" s="474"/>
      <c r="C56" s="161">
        <v>0.15</v>
      </c>
      <c r="D56" s="161">
        <v>0.16</v>
      </c>
      <c r="E56" s="161">
        <v>0.15</v>
      </c>
      <c r="L56" t="s">
        <v>226</v>
      </c>
      <c r="M56">
        <v>1342.1930111053034</v>
      </c>
      <c r="N56"/>
      <c r="O56"/>
      <c r="P56"/>
      <c r="Q56"/>
      <c r="R56"/>
      <c r="S56"/>
      <c r="T56"/>
    </row>
    <row r="57" spans="1:23" ht="15" thickBot="1" x14ac:dyDescent="0.4">
      <c r="A57" s="471" t="s">
        <v>216</v>
      </c>
      <c r="B57" s="472"/>
      <c r="C57" s="162">
        <v>8794446</v>
      </c>
      <c r="D57" s="162">
        <v>9717135</v>
      </c>
      <c r="E57" s="162">
        <v>9251844</v>
      </c>
      <c r="L57" s="433" t="s">
        <v>227</v>
      </c>
      <c r="M57" s="433">
        <v>5</v>
      </c>
      <c r="N57"/>
      <c r="O57"/>
      <c r="P57"/>
      <c r="Q57"/>
      <c r="R57"/>
      <c r="S57"/>
      <c r="T57"/>
    </row>
    <row r="58" spans="1:23" ht="15" thickBot="1" x14ac:dyDescent="0.4">
      <c r="A58" s="471" t="s">
        <v>217</v>
      </c>
      <c r="B58" s="472"/>
      <c r="C58" s="162">
        <v>8794446</v>
      </c>
      <c r="D58" s="162">
        <v>9717135</v>
      </c>
      <c r="E58" s="162">
        <v>9251844</v>
      </c>
      <c r="L58"/>
      <c r="M58"/>
      <c r="N58"/>
      <c r="O58"/>
      <c r="P58"/>
      <c r="Q58"/>
      <c r="R58"/>
      <c r="S58"/>
      <c r="T58"/>
    </row>
    <row r="59" spans="1:23" ht="15" thickBot="1" x14ac:dyDescent="0.4">
      <c r="A59" s="471" t="s">
        <v>219</v>
      </c>
      <c r="B59" s="472"/>
      <c r="C59" s="162">
        <v>4625155</v>
      </c>
      <c r="D59" s="162">
        <v>5486328</v>
      </c>
      <c r="E59" s="162">
        <v>5910157</v>
      </c>
      <c r="L59" t="s">
        <v>228</v>
      </c>
      <c r="M59"/>
      <c r="N59"/>
      <c r="O59"/>
      <c r="P59"/>
      <c r="Q59"/>
      <c r="R59"/>
      <c r="S59"/>
      <c r="T59"/>
    </row>
    <row r="60" spans="1:23" ht="15" thickBot="1" x14ac:dyDescent="0.4">
      <c r="A60" s="471" t="s">
        <v>221</v>
      </c>
      <c r="B60" s="472"/>
      <c r="C60" s="162">
        <v>4169291</v>
      </c>
      <c r="D60" s="162">
        <v>4230808</v>
      </c>
      <c r="E60" s="162">
        <v>3341687</v>
      </c>
      <c r="L60" s="434"/>
      <c r="M60" s="434" t="s">
        <v>229</v>
      </c>
      <c r="N60" s="434" t="s">
        <v>230</v>
      </c>
      <c r="O60" s="434" t="s">
        <v>231</v>
      </c>
      <c r="P60" s="434" t="s">
        <v>232</v>
      </c>
      <c r="Q60" s="434" t="s">
        <v>233</v>
      </c>
      <c r="R60"/>
      <c r="S60"/>
      <c r="T60"/>
    </row>
    <row r="61" spans="1:23" ht="15" thickBot="1" x14ac:dyDescent="0.4">
      <c r="A61" s="471" t="s">
        <v>223</v>
      </c>
      <c r="B61" s="472"/>
      <c r="C61" s="163">
        <v>0.47410000000000002</v>
      </c>
      <c r="D61" s="163">
        <v>0.43540000000000001</v>
      </c>
      <c r="E61" s="163">
        <v>0.36120000000000002</v>
      </c>
      <c r="L61" t="s">
        <v>234</v>
      </c>
      <c r="M61">
        <v>1</v>
      </c>
      <c r="N61">
        <v>41948521.801191084</v>
      </c>
      <c r="O61">
        <v>41948521.801191084</v>
      </c>
      <c r="P61">
        <v>23.285561532247574</v>
      </c>
      <c r="Q61">
        <v>1.6961520951765202E-2</v>
      </c>
      <c r="R61"/>
      <c r="S61"/>
      <c r="T61"/>
    </row>
    <row r="62" spans="1:23" ht="15" thickBot="1" x14ac:dyDescent="0.4">
      <c r="A62" s="473" t="s">
        <v>235</v>
      </c>
      <c r="B62" s="474"/>
      <c r="C62" s="161">
        <v>1</v>
      </c>
      <c r="D62" s="161">
        <v>1</v>
      </c>
      <c r="E62" s="161">
        <v>1</v>
      </c>
      <c r="L62" t="s">
        <v>236</v>
      </c>
      <c r="M62">
        <v>3</v>
      </c>
      <c r="N62">
        <v>5404446.2371797636</v>
      </c>
      <c r="O62">
        <v>1801482.0790599212</v>
      </c>
      <c r="P62"/>
      <c r="Q62"/>
      <c r="R62"/>
      <c r="S62"/>
      <c r="T62"/>
    </row>
    <row r="63" spans="1:23" ht="15" thickBot="1" x14ac:dyDescent="0.4">
      <c r="A63" s="471" t="s">
        <v>216</v>
      </c>
      <c r="B63" s="472"/>
      <c r="C63" s="162">
        <v>59636286</v>
      </c>
      <c r="D63" s="162">
        <v>60919165</v>
      </c>
      <c r="E63" s="162">
        <v>59956247</v>
      </c>
      <c r="L63" s="433" t="s">
        <v>31</v>
      </c>
      <c r="M63" s="433">
        <v>4</v>
      </c>
      <c r="N63" s="433">
        <v>47352968.038370848</v>
      </c>
      <c r="O63" s="433"/>
      <c r="P63" s="433"/>
      <c r="Q63" s="433"/>
      <c r="R63"/>
      <c r="S63"/>
      <c r="T63"/>
    </row>
    <row r="64" spans="1:23" ht="15" thickBot="1" x14ac:dyDescent="0.4">
      <c r="A64" s="471" t="s">
        <v>217</v>
      </c>
      <c r="B64" s="472"/>
      <c r="C64" s="162">
        <v>59636286</v>
      </c>
      <c r="D64" s="162">
        <v>60919165</v>
      </c>
      <c r="E64" s="162">
        <v>59956247</v>
      </c>
      <c r="L64"/>
      <c r="M64"/>
      <c r="N64"/>
      <c r="O64"/>
      <c r="P64"/>
      <c r="Q64"/>
      <c r="R64"/>
      <c r="S64"/>
      <c r="T64"/>
    </row>
    <row r="65" spans="1:20" ht="15" thickBot="1" x14ac:dyDescent="0.4">
      <c r="A65" s="471" t="s">
        <v>219</v>
      </c>
      <c r="B65" s="472"/>
      <c r="C65" s="162">
        <v>31967663</v>
      </c>
      <c r="D65" s="162">
        <v>34640863</v>
      </c>
      <c r="E65" s="162">
        <v>36059016</v>
      </c>
      <c r="L65" s="434"/>
      <c r="M65" s="434" t="s">
        <v>237</v>
      </c>
      <c r="N65" s="434" t="s">
        <v>226</v>
      </c>
      <c r="O65" s="434" t="s">
        <v>238</v>
      </c>
      <c r="P65" s="434" t="s">
        <v>239</v>
      </c>
      <c r="Q65" s="434" t="s">
        <v>240</v>
      </c>
      <c r="R65" s="434" t="s">
        <v>241</v>
      </c>
      <c r="S65" s="434" t="s">
        <v>242</v>
      </c>
      <c r="T65" s="434" t="s">
        <v>243</v>
      </c>
    </row>
    <row r="66" spans="1:20" ht="15" thickBot="1" x14ac:dyDescent="0.4">
      <c r="A66" s="471" t="s">
        <v>221</v>
      </c>
      <c r="B66" s="472"/>
      <c r="C66" s="162">
        <v>27668623</v>
      </c>
      <c r="D66" s="162">
        <v>26278301</v>
      </c>
      <c r="E66" s="162">
        <v>23897232</v>
      </c>
      <c r="L66" t="s">
        <v>244</v>
      </c>
      <c r="M66">
        <v>16977.500877985869</v>
      </c>
      <c r="N66">
        <v>8497.1896298769279</v>
      </c>
      <c r="O66">
        <v>1.9980136512772835</v>
      </c>
      <c r="P66">
        <v>0.13959446867716302</v>
      </c>
      <c r="Q66">
        <v>-10064.348864911008</v>
      </c>
      <c r="R66">
        <v>44019.350620882746</v>
      </c>
      <c r="S66">
        <v>-10064.348864911008</v>
      </c>
      <c r="T66">
        <v>44019.350620882746</v>
      </c>
    </row>
    <row r="67" spans="1:20" ht="15" thickBot="1" x14ac:dyDescent="0.4">
      <c r="A67" s="469" t="s">
        <v>223</v>
      </c>
      <c r="B67" s="470"/>
      <c r="C67" s="163">
        <v>0.46400000000000002</v>
      </c>
      <c r="D67" s="163">
        <v>0.43140000000000001</v>
      </c>
      <c r="E67" s="163">
        <v>0.39860000000000001</v>
      </c>
      <c r="L67" s="433" t="s">
        <v>177</v>
      </c>
      <c r="M67" s="433">
        <v>0.33533205643638936</v>
      </c>
      <c r="N67" s="433">
        <v>6.9491504539535814E-2</v>
      </c>
      <c r="O67" s="433">
        <v>4.8255115306304646</v>
      </c>
      <c r="P67" s="433">
        <v>1.6961520951765202E-2</v>
      </c>
      <c r="Q67" s="433">
        <v>0.11417907456593751</v>
      </c>
      <c r="R67" s="433">
        <v>0.55648503830684115</v>
      </c>
      <c r="S67" s="433">
        <v>0.11417907456593751</v>
      </c>
      <c r="T67" s="433">
        <v>0.55648503830684115</v>
      </c>
    </row>
    <row r="68" spans="1:20" x14ac:dyDescent="0.35">
      <c r="L68"/>
      <c r="M68"/>
      <c r="N68"/>
      <c r="O68"/>
      <c r="P68"/>
      <c r="Q68"/>
      <c r="R68"/>
      <c r="S68"/>
      <c r="T68"/>
    </row>
    <row r="69" spans="1:20" x14ac:dyDescent="0.35">
      <c r="L69"/>
      <c r="M69"/>
      <c r="N69"/>
      <c r="O69"/>
      <c r="P69"/>
      <c r="Q69"/>
      <c r="R69"/>
      <c r="S69"/>
      <c r="T69"/>
    </row>
    <row r="70" spans="1:20" x14ac:dyDescent="0.35">
      <c r="L70"/>
      <c r="M70"/>
      <c r="N70"/>
      <c r="O70"/>
      <c r="P70"/>
      <c r="Q70"/>
      <c r="R70"/>
      <c r="S70"/>
      <c r="T70"/>
    </row>
    <row r="71" spans="1:20" ht="15" thickBot="1" x14ac:dyDescent="0.4">
      <c r="L71" s="433">
        <v>128093.1</v>
      </c>
      <c r="M71" s="433">
        <v>0.33533205643638936</v>
      </c>
      <c r="N71" s="433">
        <v>6.9491504539535814E-2</v>
      </c>
      <c r="O71" s="433">
        <v>4.8255115306304646</v>
      </c>
      <c r="P71" s="433">
        <v>1.6961520951765202E-2</v>
      </c>
      <c r="Q71" s="433">
        <v>0.11417907456593751</v>
      </c>
      <c r="R71" s="433">
        <v>0.55648503830684115</v>
      </c>
      <c r="S71" s="433">
        <v>0.11417907456593751</v>
      </c>
      <c r="T71" s="433">
        <v>0.55648503830684115</v>
      </c>
    </row>
    <row r="72" spans="1:20" x14ac:dyDescent="0.35">
      <c r="L72">
        <v>132877.6</v>
      </c>
      <c r="M72"/>
      <c r="N72"/>
      <c r="O72"/>
      <c r="P72"/>
      <c r="Q72"/>
      <c r="R72"/>
      <c r="S72"/>
      <c r="T72"/>
    </row>
    <row r="73" spans="1:20" x14ac:dyDescent="0.35">
      <c r="L73"/>
      <c r="M73"/>
      <c r="N73"/>
      <c r="O73"/>
      <c r="P73"/>
      <c r="Q73"/>
      <c r="R73"/>
      <c r="S73"/>
      <c r="T73"/>
    </row>
    <row r="74" spans="1:20" x14ac:dyDescent="0.35">
      <c r="L74"/>
      <c r="M74"/>
      <c r="N74"/>
      <c r="O74"/>
      <c r="P74"/>
      <c r="Q74"/>
      <c r="R74"/>
      <c r="S74"/>
      <c r="T74"/>
    </row>
    <row r="75" spans="1:20" x14ac:dyDescent="0.35">
      <c r="K75" s="2" t="s">
        <v>179</v>
      </c>
      <c r="L75" s="2" t="s">
        <v>180</v>
      </c>
      <c r="M75" s="2" t="s">
        <v>182</v>
      </c>
      <c r="N75" s="2" t="s">
        <v>145</v>
      </c>
      <c r="O75" s="2" t="s">
        <v>183</v>
      </c>
      <c r="P75" t="s">
        <v>177</v>
      </c>
      <c r="Q75" t="s">
        <v>205</v>
      </c>
    </row>
    <row r="76" spans="1:20" x14ac:dyDescent="0.35">
      <c r="K76" s="2">
        <v>24.5</v>
      </c>
      <c r="L76" s="2">
        <v>45.3</v>
      </c>
      <c r="M76" s="2">
        <v>66.8</v>
      </c>
      <c r="N76" s="2">
        <v>79.3</v>
      </c>
      <c r="O76" s="2">
        <v>18.2</v>
      </c>
      <c r="P76">
        <v>108205.1</v>
      </c>
      <c r="Q76">
        <v>52561.95</v>
      </c>
    </row>
    <row r="77" spans="1:20" x14ac:dyDescent="0.35">
      <c r="K77" s="2">
        <v>24.4</v>
      </c>
      <c r="L77" s="2">
        <v>48</v>
      </c>
      <c r="M77" s="2">
        <v>66</v>
      </c>
      <c r="N77" s="2">
        <v>79.8</v>
      </c>
      <c r="O77" s="2">
        <v>18.399999999999999</v>
      </c>
      <c r="P77">
        <v>117038.9</v>
      </c>
      <c r="Q77">
        <v>56318.123</v>
      </c>
    </row>
    <row r="78" spans="1:20" x14ac:dyDescent="0.35">
      <c r="K78" s="2">
        <v>23.2</v>
      </c>
      <c r="L78" s="2">
        <v>48.3</v>
      </c>
      <c r="M78" s="2">
        <v>65.8</v>
      </c>
      <c r="N78" s="2">
        <v>81.599999999999994</v>
      </c>
      <c r="O78" s="2">
        <v>19.399999999999999</v>
      </c>
      <c r="P78" s="2">
        <v>123641.3</v>
      </c>
      <c r="Q78" s="2">
        <v>59636.286</v>
      </c>
    </row>
    <row r="79" spans="1:20" x14ac:dyDescent="0.35">
      <c r="K79" s="2">
        <v>21.5</v>
      </c>
      <c r="L79" s="2">
        <v>47.9</v>
      </c>
      <c r="M79" s="2">
        <v>65.5</v>
      </c>
      <c r="N79" s="2">
        <v>82</v>
      </c>
      <c r="O79" s="2">
        <v>19.5</v>
      </c>
      <c r="P79" s="2">
        <v>128093.1</v>
      </c>
      <c r="Q79" s="2">
        <v>60919.165000000001</v>
      </c>
    </row>
    <row r="80" spans="1:20" x14ac:dyDescent="0.35">
      <c r="K80" s="2">
        <v>19.899999999999999</v>
      </c>
      <c r="L80" s="2">
        <v>46.1</v>
      </c>
      <c r="M80" s="2">
        <v>63.6</v>
      </c>
      <c r="N80" s="2">
        <v>82.2</v>
      </c>
      <c r="O80" s="2">
        <v>19</v>
      </c>
      <c r="P80" s="2">
        <v>132877.6</v>
      </c>
      <c r="Q80" s="2">
        <v>59956.247000000003</v>
      </c>
    </row>
    <row r="81" spans="11:18" x14ac:dyDescent="0.35">
      <c r="K81" s="2">
        <v>20</v>
      </c>
      <c r="L81" s="2">
        <v>44.8</v>
      </c>
      <c r="M81" s="2">
        <v>62.5</v>
      </c>
      <c r="N81" s="2">
        <v>82.8</v>
      </c>
      <c r="O81" s="2">
        <v>18.5</v>
      </c>
    </row>
    <row r="89" spans="11:18" x14ac:dyDescent="0.35">
      <c r="L89" s="2" t="s">
        <v>179</v>
      </c>
      <c r="M89" s="2">
        <v>24.5</v>
      </c>
      <c r="N89" s="2">
        <v>24.4</v>
      </c>
      <c r="O89" s="2">
        <v>23.2</v>
      </c>
      <c r="P89" s="2">
        <v>21.5</v>
      </c>
      <c r="Q89" s="2">
        <v>19.899999999999999</v>
      </c>
      <c r="R89" s="2">
        <v>20</v>
      </c>
    </row>
    <row r="90" spans="11:18" x14ac:dyDescent="0.35">
      <c r="L90" s="2" t="s">
        <v>180</v>
      </c>
      <c r="M90" s="2">
        <v>45.3</v>
      </c>
      <c r="N90" s="2">
        <v>48</v>
      </c>
      <c r="O90" s="2">
        <v>48.3</v>
      </c>
      <c r="P90" s="2">
        <v>47.9</v>
      </c>
      <c r="Q90" s="2">
        <v>46.1</v>
      </c>
      <c r="R90" s="2">
        <v>44.8</v>
      </c>
    </row>
    <row r="91" spans="11:18" x14ac:dyDescent="0.35">
      <c r="L91" s="2" t="s">
        <v>182</v>
      </c>
      <c r="M91" s="2">
        <v>66.8</v>
      </c>
      <c r="N91" s="2">
        <v>66</v>
      </c>
      <c r="O91" s="2">
        <v>65.8</v>
      </c>
      <c r="P91" s="2">
        <v>65.5</v>
      </c>
      <c r="Q91" s="2">
        <v>63.6</v>
      </c>
      <c r="R91" s="2">
        <v>62.5</v>
      </c>
    </row>
    <row r="92" spans="11:18" x14ac:dyDescent="0.35">
      <c r="L92" s="2" t="s">
        <v>145</v>
      </c>
      <c r="M92" s="2">
        <v>79.3</v>
      </c>
      <c r="N92" s="2">
        <v>79.8</v>
      </c>
      <c r="O92" s="2">
        <v>81.599999999999994</v>
      </c>
      <c r="P92" s="2">
        <v>82</v>
      </c>
      <c r="Q92" s="2">
        <v>82.2</v>
      </c>
      <c r="R92" s="2">
        <v>82.8</v>
      </c>
    </row>
    <row r="93" spans="11:18" x14ac:dyDescent="0.35">
      <c r="L93" s="2" t="s">
        <v>183</v>
      </c>
      <c r="M93" s="2">
        <v>18.2</v>
      </c>
      <c r="N93" s="2">
        <v>18.399999999999999</v>
      </c>
      <c r="O93" s="2">
        <v>19.399999999999999</v>
      </c>
      <c r="P93" s="2">
        <v>19.5</v>
      </c>
      <c r="Q93" s="2">
        <v>19</v>
      </c>
      <c r="R93" s="2">
        <v>18.5</v>
      </c>
    </row>
    <row r="99" spans="12:20" x14ac:dyDescent="0.35">
      <c r="L99" t="s">
        <v>215</v>
      </c>
      <c r="M99"/>
      <c r="N99"/>
      <c r="O99"/>
      <c r="P99"/>
      <c r="Q99"/>
      <c r="R99"/>
      <c r="S99"/>
      <c r="T99"/>
    </row>
    <row r="100" spans="12:20" ht="15" thickBot="1" x14ac:dyDescent="0.4">
      <c r="L100"/>
      <c r="M100"/>
      <c r="N100"/>
      <c r="O100"/>
      <c r="P100"/>
      <c r="Q100"/>
      <c r="R100"/>
      <c r="S100"/>
      <c r="T100"/>
    </row>
    <row r="101" spans="12:20" x14ac:dyDescent="0.35">
      <c r="L101" s="434" t="s">
        <v>218</v>
      </c>
      <c r="M101" s="434"/>
      <c r="N101"/>
      <c r="O101"/>
      <c r="P101"/>
      <c r="Q101"/>
      <c r="R101"/>
      <c r="S101"/>
      <c r="T101"/>
    </row>
    <row r="102" spans="12:20" x14ac:dyDescent="0.35">
      <c r="L102" t="s">
        <v>220</v>
      </c>
      <c r="M102">
        <v>1</v>
      </c>
      <c r="N102"/>
      <c r="O102"/>
      <c r="P102"/>
      <c r="Q102"/>
      <c r="R102"/>
      <c r="S102"/>
      <c r="T102"/>
    </row>
    <row r="103" spans="12:20" x14ac:dyDescent="0.35">
      <c r="L103" t="s">
        <v>222</v>
      </c>
      <c r="M103">
        <v>1</v>
      </c>
      <c r="N103"/>
      <c r="O103"/>
      <c r="P103"/>
      <c r="Q103"/>
      <c r="R103"/>
      <c r="S103"/>
      <c r="T103"/>
    </row>
    <row r="104" spans="12:20" x14ac:dyDescent="0.35">
      <c r="L104" t="s">
        <v>224</v>
      </c>
      <c r="M104">
        <v>65535</v>
      </c>
      <c r="N104"/>
      <c r="O104"/>
      <c r="P104"/>
      <c r="Q104"/>
      <c r="R104"/>
      <c r="S104"/>
      <c r="T104"/>
    </row>
    <row r="105" spans="12:20" x14ac:dyDescent="0.35">
      <c r="L105" t="s">
        <v>226</v>
      </c>
      <c r="M105">
        <v>0</v>
      </c>
      <c r="N105"/>
      <c r="O105"/>
      <c r="P105"/>
      <c r="Q105"/>
      <c r="R105"/>
      <c r="S105"/>
      <c r="T105"/>
    </row>
    <row r="106" spans="12:20" ht="15" thickBot="1" x14ac:dyDescent="0.4">
      <c r="L106" s="433" t="s">
        <v>227</v>
      </c>
      <c r="M106" s="433">
        <v>5</v>
      </c>
      <c r="N106"/>
      <c r="O106"/>
      <c r="P106"/>
      <c r="Q106"/>
      <c r="R106"/>
      <c r="S106"/>
      <c r="T106"/>
    </row>
    <row r="107" spans="12:20" x14ac:dyDescent="0.35">
      <c r="L107"/>
      <c r="M107"/>
      <c r="N107"/>
      <c r="O107"/>
      <c r="P107"/>
      <c r="Q107"/>
      <c r="R107"/>
      <c r="S107"/>
      <c r="T107"/>
    </row>
    <row r="108" spans="12:20" ht="15" thickBot="1" x14ac:dyDescent="0.4">
      <c r="L108" t="s">
        <v>228</v>
      </c>
      <c r="M108"/>
      <c r="N108"/>
      <c r="O108"/>
      <c r="P108"/>
      <c r="Q108"/>
      <c r="R108"/>
      <c r="S108"/>
      <c r="T108"/>
    </row>
    <row r="109" spans="12:20" x14ac:dyDescent="0.35">
      <c r="L109" s="434"/>
      <c r="M109" s="434" t="s">
        <v>229</v>
      </c>
      <c r="N109" s="434" t="s">
        <v>230</v>
      </c>
      <c r="O109" s="434" t="s">
        <v>231</v>
      </c>
      <c r="P109" s="434" t="s">
        <v>232</v>
      </c>
      <c r="Q109" s="434" t="s">
        <v>233</v>
      </c>
      <c r="R109"/>
      <c r="S109"/>
      <c r="T109"/>
    </row>
    <row r="110" spans="12:20" x14ac:dyDescent="0.35">
      <c r="L110" t="s">
        <v>234</v>
      </c>
      <c r="M110">
        <v>4</v>
      </c>
      <c r="N110">
        <v>47352968.038370848</v>
      </c>
      <c r="O110">
        <v>11838242.009592712</v>
      </c>
      <c r="P110" t="e">
        <v>#NUM!</v>
      </c>
      <c r="Q110" t="e">
        <v>#NUM!</v>
      </c>
      <c r="R110"/>
      <c r="S110"/>
      <c r="T110"/>
    </row>
    <row r="111" spans="12:20" x14ac:dyDescent="0.35">
      <c r="L111" t="s">
        <v>236</v>
      </c>
      <c r="M111">
        <v>0</v>
      </c>
      <c r="N111">
        <v>0</v>
      </c>
      <c r="O111">
        <v>65535</v>
      </c>
      <c r="P111"/>
      <c r="Q111"/>
      <c r="R111"/>
      <c r="S111"/>
      <c r="T111"/>
    </row>
    <row r="112" spans="12:20" ht="15" thickBot="1" x14ac:dyDescent="0.4">
      <c r="L112" s="433" t="s">
        <v>31</v>
      </c>
      <c r="M112" s="433">
        <v>4</v>
      </c>
      <c r="N112" s="433">
        <v>47352968.038370848</v>
      </c>
      <c r="O112" s="433"/>
      <c r="P112" s="433"/>
      <c r="Q112" s="433"/>
      <c r="R112"/>
      <c r="S112"/>
      <c r="T112"/>
    </row>
    <row r="113" spans="12:20" ht="15" thickBot="1" x14ac:dyDescent="0.4">
      <c r="L113"/>
      <c r="M113"/>
      <c r="N113"/>
      <c r="O113"/>
      <c r="P113"/>
      <c r="Q113"/>
      <c r="R113"/>
      <c r="S113"/>
      <c r="T113"/>
    </row>
    <row r="114" spans="12:20" x14ac:dyDescent="0.35">
      <c r="L114" s="434"/>
      <c r="M114" s="434" t="s">
        <v>237</v>
      </c>
      <c r="N114" s="434" t="s">
        <v>226</v>
      </c>
      <c r="O114" s="434" t="s">
        <v>238</v>
      </c>
      <c r="P114" s="434" t="s">
        <v>239</v>
      </c>
      <c r="Q114" s="434" t="s">
        <v>240</v>
      </c>
      <c r="R114" s="434" t="s">
        <v>241</v>
      </c>
      <c r="S114" s="434" t="s">
        <v>242</v>
      </c>
      <c r="T114" s="434" t="s">
        <v>243</v>
      </c>
    </row>
    <row r="115" spans="12:20" x14ac:dyDescent="0.35">
      <c r="L115" t="s">
        <v>244</v>
      </c>
      <c r="M115">
        <v>-1718021.494801437</v>
      </c>
      <c r="N115">
        <v>0</v>
      </c>
      <c r="O115">
        <v>65535</v>
      </c>
      <c r="P115" t="e">
        <v>#NUM!</v>
      </c>
      <c r="Q115" t="e">
        <v>#VALUE!</v>
      </c>
      <c r="R115" t="e">
        <v>#VALUE!</v>
      </c>
      <c r="S115">
        <v>-1718021.494801437</v>
      </c>
      <c r="T115">
        <v>-1718021.494801437</v>
      </c>
    </row>
    <row r="116" spans="12:20" x14ac:dyDescent="0.35">
      <c r="L116" t="s">
        <v>180</v>
      </c>
      <c r="M116">
        <v>2644.7201060509497</v>
      </c>
      <c r="N116">
        <v>0</v>
      </c>
      <c r="O116">
        <v>65535</v>
      </c>
      <c r="P116" t="e">
        <v>#NUM!</v>
      </c>
      <c r="Q116">
        <v>2644.7201060509497</v>
      </c>
      <c r="R116">
        <v>2644.7201060509497</v>
      </c>
      <c r="S116">
        <v>2644.7201060509497</v>
      </c>
      <c r="T116">
        <v>2644.7201060509497</v>
      </c>
    </row>
    <row r="117" spans="12:20" x14ac:dyDescent="0.35">
      <c r="L117" t="s">
        <v>182</v>
      </c>
      <c r="M117">
        <v>8969.1834217082487</v>
      </c>
      <c r="N117">
        <v>0</v>
      </c>
      <c r="O117">
        <v>65535</v>
      </c>
      <c r="P117" t="e">
        <v>#NUM!</v>
      </c>
      <c r="Q117">
        <v>8969.1834217082487</v>
      </c>
      <c r="R117">
        <v>8969.1834217082487</v>
      </c>
      <c r="S117">
        <v>8969.1834217082487</v>
      </c>
      <c r="T117">
        <v>8969.1834217082487</v>
      </c>
    </row>
    <row r="118" spans="12:20" x14ac:dyDescent="0.35">
      <c r="L118" t="s">
        <v>145</v>
      </c>
      <c r="M118">
        <v>20907.562289455022</v>
      </c>
      <c r="N118">
        <v>0</v>
      </c>
      <c r="O118">
        <v>65535</v>
      </c>
      <c r="P118" t="e">
        <v>#NUM!</v>
      </c>
      <c r="Q118">
        <v>20907.562289455022</v>
      </c>
      <c r="R118">
        <v>20907.562289455022</v>
      </c>
      <c r="S118">
        <v>20907.562289455022</v>
      </c>
      <c r="T118">
        <v>20907.562289455022</v>
      </c>
    </row>
    <row r="119" spans="12:20" ht="15" thickBot="1" x14ac:dyDescent="0.4">
      <c r="L119" s="433" t="s">
        <v>183</v>
      </c>
      <c r="M119" s="433">
        <v>-33315.028468492594</v>
      </c>
      <c r="N119" s="433">
        <v>0</v>
      </c>
      <c r="O119" s="433">
        <v>65535</v>
      </c>
      <c r="P119" s="433" t="e">
        <v>#NUM!</v>
      </c>
      <c r="Q119" s="433">
        <v>-33315.028468492594</v>
      </c>
      <c r="R119" s="433">
        <v>-33315.028468492594</v>
      </c>
      <c r="S119" s="433">
        <v>-33315.028468492594</v>
      </c>
      <c r="T119" s="433">
        <v>-33315.028468492594</v>
      </c>
    </row>
    <row r="120" spans="12:20" x14ac:dyDescent="0.35">
      <c r="L120"/>
      <c r="M120"/>
      <c r="N120"/>
      <c r="O120"/>
      <c r="P120"/>
      <c r="Q120"/>
      <c r="R120"/>
      <c r="S120"/>
      <c r="T120"/>
    </row>
    <row r="121" spans="12:20" x14ac:dyDescent="0.35">
      <c r="L121"/>
      <c r="M121"/>
      <c r="N121"/>
      <c r="O121"/>
      <c r="P121"/>
      <c r="Q121"/>
      <c r="R121"/>
      <c r="S121"/>
      <c r="T121"/>
    </row>
    <row r="122" spans="12:20" x14ac:dyDescent="0.35">
      <c r="L122"/>
      <c r="M122"/>
      <c r="N122"/>
      <c r="O122"/>
      <c r="P122"/>
      <c r="Q122"/>
      <c r="R122"/>
      <c r="S122"/>
      <c r="T122"/>
    </row>
  </sheetData>
  <mergeCells count="21">
    <mergeCell ref="A50:B50"/>
    <mergeCell ref="A51:B51"/>
    <mergeCell ref="A52:B52"/>
    <mergeCell ref="A53:B53"/>
    <mergeCell ref="A54:B54"/>
    <mergeCell ref="N2:R2"/>
    <mergeCell ref="V2:Z2"/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8:B48"/>
  </mergeCells>
  <phoneticPr fontId="1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8191-D52A-4C10-AEF8-FB46A8BCF3CC}">
  <dimension ref="B5:G32"/>
  <sheetViews>
    <sheetView workbookViewId="0"/>
  </sheetViews>
  <sheetFormatPr defaultRowHeight="14.5" x14ac:dyDescent="0.35"/>
  <cols>
    <col min="2" max="2" width="24" customWidth="1"/>
    <col min="3" max="7" width="20.453125" customWidth="1"/>
  </cols>
  <sheetData>
    <row r="5" spans="2:7" s="439" customFormat="1" ht="10.5" customHeight="1" x14ac:dyDescent="0.35">
      <c r="B5" s="438" t="s">
        <v>3</v>
      </c>
      <c r="C5" s="438" t="s">
        <v>4</v>
      </c>
      <c r="D5" s="438" t="s">
        <v>5</v>
      </c>
      <c r="E5" s="438" t="s">
        <v>6</v>
      </c>
      <c r="F5" s="438" t="s">
        <v>7</v>
      </c>
      <c r="G5" s="438" t="s">
        <v>8</v>
      </c>
    </row>
    <row r="6" spans="2:7" s="439" customFormat="1" ht="10.5" customHeight="1" x14ac:dyDescent="0.35">
      <c r="B6" s="440" t="s">
        <v>102</v>
      </c>
      <c r="C6" s="441">
        <v>11668.502641487314</v>
      </c>
      <c r="D6" s="441">
        <v>11901.683997769112</v>
      </c>
      <c r="E6" s="441">
        <v>11987.135493119327</v>
      </c>
      <c r="F6" s="441">
        <v>12467.55170426322</v>
      </c>
      <c r="G6" s="441">
        <v>13012.959002940472</v>
      </c>
    </row>
    <row r="7" spans="2:7" s="439" customFormat="1" ht="10.5" customHeight="1" x14ac:dyDescent="0.35">
      <c r="B7" s="440" t="s">
        <v>103</v>
      </c>
      <c r="C7" s="441">
        <v>-1932.7551020408162</v>
      </c>
      <c r="D7" s="441">
        <v>-2200.3673469387754</v>
      </c>
      <c r="E7" s="441">
        <v>-2319.3061224489793</v>
      </c>
      <c r="F7" s="441">
        <v>-2557.1836734693875</v>
      </c>
      <c r="G7" s="441">
        <v>-2557.1836734693875</v>
      </c>
    </row>
    <row r="8" spans="2:7" s="439" customFormat="1" ht="10.5" customHeight="1" x14ac:dyDescent="0.35">
      <c r="B8" s="440" t="s">
        <v>104</v>
      </c>
      <c r="C8" s="441">
        <v>2486.2225204932265</v>
      </c>
      <c r="D8" s="441">
        <v>2642.6507810816283</v>
      </c>
      <c r="E8" s="441">
        <v>2809.9971011161433</v>
      </c>
      <c r="F8" s="441">
        <v>2989.0235169552943</v>
      </c>
      <c r="G8" s="441">
        <v>3180.5452520110894</v>
      </c>
    </row>
    <row r="9" spans="2:7" s="439" customFormat="1" ht="10.5" customHeight="1" x14ac:dyDescent="0.35">
      <c r="B9" s="440" t="s">
        <v>106</v>
      </c>
      <c r="C9" s="441">
        <v>-2108.9637687045224</v>
      </c>
      <c r="D9" s="441">
        <v>-1903.3551395526333</v>
      </c>
      <c r="E9" s="441">
        <v>-1045.0190984733508</v>
      </c>
      <c r="F9" s="441">
        <v>-1050.138426802876</v>
      </c>
      <c r="G9" s="441">
        <v>-1055.3913385750311</v>
      </c>
    </row>
    <row r="10" spans="2:7" s="439" customFormat="1" ht="10.5" customHeight="1" x14ac:dyDescent="0.35">
      <c r="B10" s="440" t="s">
        <v>107</v>
      </c>
      <c r="C10" s="441">
        <v>977.25116950222582</v>
      </c>
      <c r="D10" s="441">
        <v>114.21255439888864</v>
      </c>
      <c r="E10" s="441">
        <v>124.31250845243176</v>
      </c>
      <c r="F10" s="441">
        <v>134.6849957277218</v>
      </c>
      <c r="G10" s="441">
        <v>145.38983037748949</v>
      </c>
    </row>
    <row r="11" spans="2:7" s="439" customFormat="1" ht="10.5" customHeight="1" x14ac:dyDescent="0.35">
      <c r="B11" s="442" t="s">
        <v>108</v>
      </c>
      <c r="C11" s="442">
        <v>11090.257460737428</v>
      </c>
      <c r="D11" s="442">
        <v>10554.82484675822</v>
      </c>
      <c r="E11" s="442">
        <v>11557.119881765571</v>
      </c>
      <c r="F11" s="442">
        <v>11983.938116673971</v>
      </c>
      <c r="G11" s="442">
        <v>12726.319073284631</v>
      </c>
    </row>
    <row r="12" spans="2:7" s="439" customFormat="1" ht="10.5" customHeight="1" x14ac:dyDescent="0.35">
      <c r="B12" s="443" t="s">
        <v>109</v>
      </c>
      <c r="C12" s="479">
        <v>9.6952277172036694E-2</v>
      </c>
      <c r="D12" s="479"/>
      <c r="E12" s="479"/>
      <c r="F12" s="479"/>
      <c r="G12" s="479"/>
    </row>
    <row r="13" spans="2:7" s="439" customFormat="1" ht="10.5" customHeight="1" x14ac:dyDescent="0.35">
      <c r="B13" s="443" t="s">
        <v>110</v>
      </c>
      <c r="C13" s="480">
        <v>2.6456159660860699E-2</v>
      </c>
      <c r="D13" s="480"/>
      <c r="E13" s="480"/>
      <c r="F13" s="480"/>
      <c r="G13" s="480"/>
    </row>
    <row r="14" spans="2:7" s="439" customFormat="1" ht="10.5" customHeight="1" x14ac:dyDescent="0.35">
      <c r="B14" s="443" t="s">
        <v>111</v>
      </c>
      <c r="C14" s="481">
        <v>185301.10683771456</v>
      </c>
      <c r="D14" s="481"/>
      <c r="E14" s="481"/>
      <c r="F14" s="481"/>
      <c r="G14" s="481"/>
    </row>
    <row r="15" spans="2:7" s="439" customFormat="1" ht="10.5" customHeight="1" x14ac:dyDescent="0.35">
      <c r="B15" s="443" t="s">
        <v>31</v>
      </c>
      <c r="C15" s="477">
        <v>11090.257460737428</v>
      </c>
      <c r="D15" s="477">
        <v>10554.82484675822</v>
      </c>
      <c r="E15" s="477">
        <v>11557.119881765571</v>
      </c>
      <c r="F15" s="477">
        <v>11983.938116673971</v>
      </c>
      <c r="G15" s="477">
        <v>198027.42591099918</v>
      </c>
    </row>
    <row r="16" spans="2:7" s="439" customFormat="1" ht="10.5" customHeight="1" x14ac:dyDescent="0.35">
      <c r="B16" s="443" t="s">
        <v>115</v>
      </c>
      <c r="C16" s="477">
        <v>160590.83867716769</v>
      </c>
      <c r="D16" s="477"/>
      <c r="E16" s="477"/>
      <c r="F16" s="477"/>
      <c r="G16" s="477"/>
    </row>
    <row r="17" spans="2:7" s="439" customFormat="1" ht="10.5" customHeight="1" x14ac:dyDescent="0.35">
      <c r="B17" s="443" t="s">
        <v>112</v>
      </c>
      <c r="C17" s="477">
        <v>2.09</v>
      </c>
      <c r="D17" s="477"/>
      <c r="E17" s="477"/>
      <c r="F17" s="477"/>
      <c r="G17" s="477"/>
    </row>
    <row r="18" spans="2:7" s="439" customFormat="1" ht="10.5" customHeight="1" x14ac:dyDescent="0.35">
      <c r="B18" s="443" t="s">
        <v>113</v>
      </c>
      <c r="C18" s="478">
        <v>76837.721855104202</v>
      </c>
      <c r="D18" s="478"/>
      <c r="E18" s="478"/>
      <c r="F18" s="478"/>
      <c r="G18" s="478"/>
    </row>
    <row r="21" spans="2:7" x14ac:dyDescent="0.35">
      <c r="C21" s="51">
        <f>D21-1%</f>
        <v>7.6952277172036704E-2</v>
      </c>
      <c r="D21" s="51">
        <f>E21-1%</f>
        <v>8.6952277172036699E-2</v>
      </c>
      <c r="E21" s="51">
        <f>C12</f>
        <v>9.6952277172036694E-2</v>
      </c>
      <c r="F21" s="51">
        <f>E21+1%</f>
        <v>0.10695227717203669</v>
      </c>
      <c r="G21" s="51">
        <f>E12</f>
        <v>0</v>
      </c>
    </row>
    <row r="22" spans="2:7" x14ac:dyDescent="0.35">
      <c r="B22" s="51">
        <f>B23-0.5%</f>
        <v>1.6456159660860697E-2</v>
      </c>
      <c r="E22">
        <v>63744.255020077253</v>
      </c>
    </row>
    <row r="23" spans="2:7" x14ac:dyDescent="0.35">
      <c r="B23" s="51">
        <f>B24-0.5%</f>
        <v>2.1456159660860698E-2</v>
      </c>
      <c r="E23">
        <v>66882.457484377883</v>
      </c>
    </row>
    <row r="24" spans="2:7" x14ac:dyDescent="0.35">
      <c r="B24" s="51">
        <f>C13</f>
        <v>2.6456159660860699E-2</v>
      </c>
      <c r="C24" s="51"/>
      <c r="D24">
        <f>D32</f>
        <v>82125.919246562247</v>
      </c>
      <c r="E24" s="455">
        <v>76837.721855104202</v>
      </c>
    </row>
    <row r="25" spans="2:7" x14ac:dyDescent="0.35">
      <c r="B25" s="51">
        <f>B24+0.5%</f>
        <v>3.1456159660860697E-2</v>
      </c>
      <c r="D25">
        <f>D28</f>
        <v>88018.417135710784</v>
      </c>
      <c r="E25">
        <v>74596.292256251181</v>
      </c>
    </row>
    <row r="26" spans="2:7" x14ac:dyDescent="0.35">
      <c r="B26" s="51">
        <f>B25+0.5%</f>
        <v>3.6456159660860694E-2</v>
      </c>
      <c r="D26">
        <f>D29</f>
        <v>95077.836004050361</v>
      </c>
      <c r="E26">
        <v>79409.531521494588</v>
      </c>
    </row>
    <row r="27" spans="2:7" x14ac:dyDescent="0.35">
      <c r="B27" s="51"/>
    </row>
    <row r="28" spans="2:7" x14ac:dyDescent="0.35">
      <c r="D28">
        <v>88018.417135710784</v>
      </c>
    </row>
    <row r="29" spans="2:7" x14ac:dyDescent="0.35">
      <c r="D29">
        <v>95077.836004050361</v>
      </c>
    </row>
    <row r="32" spans="2:7" x14ac:dyDescent="0.35">
      <c r="D32">
        <v>82125.919246562247</v>
      </c>
    </row>
  </sheetData>
  <mergeCells count="7">
    <mergeCell ref="C17:G17"/>
    <mergeCell ref="C18:G18"/>
    <mergeCell ref="C15:G15"/>
    <mergeCell ref="C12:G12"/>
    <mergeCell ref="C13:G13"/>
    <mergeCell ref="C14:G14"/>
    <mergeCell ref="C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0F50-0414-4DC2-A2FB-A8C6869DC8ED}">
  <dimension ref="A2:N15"/>
  <sheetViews>
    <sheetView workbookViewId="0">
      <selection activeCell="C8" sqref="C8"/>
    </sheetView>
  </sheetViews>
  <sheetFormatPr defaultRowHeight="14.5" x14ac:dyDescent="0.35"/>
  <cols>
    <col min="1" max="1" width="30.1796875" customWidth="1"/>
    <col min="2" max="2" width="32.81640625" customWidth="1"/>
    <col min="3" max="3" width="20.26953125" customWidth="1"/>
    <col min="4" max="4" width="15.26953125" customWidth="1"/>
    <col min="5" max="5" width="25" customWidth="1"/>
    <col min="8" max="8" width="21.81640625" customWidth="1"/>
    <col min="14" max="14" width="10.1796875" bestFit="1" customWidth="1"/>
  </cols>
  <sheetData>
    <row r="2" spans="1:14" x14ac:dyDescent="0.35">
      <c r="A2" s="438" t="s">
        <v>245</v>
      </c>
      <c r="B2" s="438" t="s">
        <v>246</v>
      </c>
    </row>
    <row r="3" spans="1:14" ht="15" thickBot="1" x14ac:dyDescent="0.4">
      <c r="A3" s="440" t="s">
        <v>247</v>
      </c>
      <c r="B3" s="440">
        <v>7.94</v>
      </c>
      <c r="C3" s="84"/>
      <c r="G3" t="s">
        <v>248</v>
      </c>
      <c r="H3" s="415">
        <v>3632.32</v>
      </c>
      <c r="I3">
        <f>H3*(1+H4)</f>
        <v>3493.565376</v>
      </c>
    </row>
    <row r="4" spans="1:14" ht="15" thickBot="1" x14ac:dyDescent="0.4">
      <c r="A4" s="440" t="s">
        <v>249</v>
      </c>
      <c r="B4" s="440">
        <v>21.63</v>
      </c>
      <c r="C4" s="84"/>
      <c r="H4" s="417">
        <v>-3.8199999999999998E-2</v>
      </c>
      <c r="I4" s="420"/>
      <c r="J4" s="420"/>
    </row>
    <row r="5" spans="1:14" x14ac:dyDescent="0.35">
      <c r="A5" s="440" t="s">
        <v>250</v>
      </c>
      <c r="B5" s="440">
        <v>17.43</v>
      </c>
      <c r="C5" s="84"/>
      <c r="H5" t="e">
        <f>H3*#REF!</f>
        <v>#REF!</v>
      </c>
    </row>
    <row r="6" spans="1:14" x14ac:dyDescent="0.35">
      <c r="A6" s="440" t="s">
        <v>251</v>
      </c>
      <c r="B6" s="440">
        <v>17.739999999999998</v>
      </c>
      <c r="C6" s="84"/>
    </row>
    <row r="7" spans="1:14" ht="15" thickBot="1" x14ac:dyDescent="0.4">
      <c r="A7" s="440" t="s">
        <v>252</v>
      </c>
      <c r="B7" s="440">
        <v>7.27</v>
      </c>
      <c r="C7" s="84"/>
    </row>
    <row r="8" spans="1:14" ht="15" thickBot="1" x14ac:dyDescent="0.4">
      <c r="A8" s="440" t="s">
        <v>253</v>
      </c>
      <c r="B8" s="440">
        <f>AVERAGEA(B3:B7)</f>
        <v>14.401999999999997</v>
      </c>
      <c r="G8" t="s">
        <v>254</v>
      </c>
      <c r="H8" s="416">
        <v>19.309999999999999</v>
      </c>
      <c r="M8" s="95">
        <f>FCFE!G178</f>
        <v>70465.819565277678</v>
      </c>
      <c r="N8" s="95">
        <f>M8/M9</f>
        <v>16.090775802092423</v>
      </c>
    </row>
    <row r="9" spans="1:14" ht="15" thickBot="1" x14ac:dyDescent="0.4">
      <c r="A9" s="440" t="s">
        <v>102</v>
      </c>
      <c r="B9" s="440">
        <f>FCFE!G89</f>
        <v>11460.362365186556</v>
      </c>
      <c r="G9" s="418" t="s">
        <v>255</v>
      </c>
      <c r="H9" s="152">
        <v>4412.2299999999996</v>
      </c>
      <c r="I9" s="152">
        <v>4564.57</v>
      </c>
      <c r="J9" s="152">
        <v>4770.0600000000004</v>
      </c>
      <c r="K9" s="152">
        <v>4517.1099999999997</v>
      </c>
      <c r="L9" s="152">
        <v>3632.37</v>
      </c>
      <c r="M9" s="419">
        <f>AVERAGE(H9:L9)</f>
        <v>4379.268</v>
      </c>
    </row>
    <row r="10" spans="1:14" x14ac:dyDescent="0.35">
      <c r="A10" s="440" t="s">
        <v>116</v>
      </c>
      <c r="B10" s="440">
        <v>2.09</v>
      </c>
      <c r="E10">
        <v>10.24</v>
      </c>
    </row>
    <row r="11" spans="1:14" x14ac:dyDescent="0.35">
      <c r="A11" s="440" t="s">
        <v>255</v>
      </c>
      <c r="B11" s="440">
        <f>B9/B10</f>
        <v>5483.4269689887833</v>
      </c>
      <c r="E11">
        <v>26.59</v>
      </c>
    </row>
    <row r="12" spans="1:14" x14ac:dyDescent="0.35">
      <c r="A12" s="438" t="s">
        <v>256</v>
      </c>
      <c r="B12" s="438">
        <f>B11*B8</f>
        <v>78972.31520737645</v>
      </c>
      <c r="E12">
        <v>26</v>
      </c>
    </row>
    <row r="13" spans="1:14" x14ac:dyDescent="0.35">
      <c r="B13" s="95">
        <f>Sheet5!C18</f>
        <v>76837.721855104202</v>
      </c>
      <c r="C13" s="95">
        <f>70%*B13+30%*B12</f>
        <v>77478.099860785878</v>
      </c>
    </row>
    <row r="15" spans="1:14" x14ac:dyDescent="0.35">
      <c r="B15">
        <v>70000</v>
      </c>
      <c r="C15" s="51">
        <f>C13/B15-1</f>
        <v>0.10682999801122683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E5DB-DFA1-4D32-BF3A-E4A6FF41E101}">
  <dimension ref="A2:W205"/>
  <sheetViews>
    <sheetView topLeftCell="A22" zoomScale="69" zoomScaleNormal="69" workbookViewId="0">
      <selection activeCell="C19" sqref="C19"/>
    </sheetView>
  </sheetViews>
  <sheetFormatPr defaultRowHeight="14.5" x14ac:dyDescent="0.35"/>
  <cols>
    <col min="1" max="1" width="42.7265625" customWidth="1"/>
    <col min="2" max="2" width="28.54296875" customWidth="1"/>
    <col min="3" max="3" width="23.1796875" customWidth="1"/>
    <col min="4" max="4" width="16.1796875" bestFit="1" customWidth="1"/>
    <col min="5" max="5" width="14.26953125" bestFit="1" customWidth="1"/>
    <col min="6" max="6" width="9.81640625" bestFit="1" customWidth="1"/>
    <col min="7" max="7" width="25" bestFit="1" customWidth="1"/>
    <col min="8" max="8" width="36.7265625" customWidth="1"/>
    <col min="9" max="9" width="29" bestFit="1" customWidth="1"/>
    <col min="10" max="10" width="13.26953125" bestFit="1" customWidth="1"/>
    <col min="11" max="13" width="13.453125" bestFit="1" customWidth="1"/>
    <col min="14" max="14" width="11.1796875" bestFit="1" customWidth="1"/>
    <col min="20" max="20" width="20.7265625" customWidth="1"/>
    <col min="21" max="21" width="27.81640625" customWidth="1"/>
    <col min="22" max="23" width="10.81640625" bestFit="1" customWidth="1"/>
  </cols>
  <sheetData>
    <row r="2" spans="1:23" ht="15" thickBot="1" x14ac:dyDescent="0.4">
      <c r="T2" s="98" t="s">
        <v>257</v>
      </c>
      <c r="U2" s="98">
        <v>2020</v>
      </c>
      <c r="V2" s="98">
        <v>2021</v>
      </c>
      <c r="W2" s="98">
        <v>2022</v>
      </c>
    </row>
    <row r="3" spans="1:23" x14ac:dyDescent="0.35">
      <c r="T3" s="164" t="s">
        <v>258</v>
      </c>
      <c r="U3" s="146">
        <v>19424923</v>
      </c>
      <c r="V3" s="146">
        <v>23374288</v>
      </c>
      <c r="W3" s="146">
        <v>19713999</v>
      </c>
    </row>
    <row r="4" spans="1:23" x14ac:dyDescent="0.35">
      <c r="B4" t="s">
        <v>259</v>
      </c>
      <c r="C4" t="s">
        <v>175</v>
      </c>
      <c r="D4" t="s">
        <v>260</v>
      </c>
    </row>
    <row r="5" spans="1:23" x14ac:dyDescent="0.35">
      <c r="A5" s="134" t="s">
        <v>261</v>
      </c>
      <c r="B5" s="70">
        <v>12737097570.120001</v>
      </c>
      <c r="C5" t="s">
        <v>262</v>
      </c>
      <c r="D5" s="95">
        <f>B5*E5</f>
        <v>1783193659.8168004</v>
      </c>
      <c r="E5">
        <v>0.14000000000000001</v>
      </c>
    </row>
    <row r="6" spans="1:23" x14ac:dyDescent="0.35">
      <c r="A6" s="134" t="s">
        <v>263</v>
      </c>
      <c r="B6" s="70">
        <v>36450140780.669998</v>
      </c>
      <c r="C6" t="s">
        <v>262</v>
      </c>
      <c r="D6" s="95">
        <f t="shared" ref="D6:D9" si="0">B6*E6</f>
        <v>5103019709.2938004</v>
      </c>
      <c r="E6">
        <v>0.14000000000000001</v>
      </c>
      <c r="G6">
        <v>4399654638.2799997</v>
      </c>
      <c r="H6" s="52">
        <f>G6*E6</f>
        <v>615951649.3592</v>
      </c>
    </row>
    <row r="7" spans="1:23" x14ac:dyDescent="0.35">
      <c r="A7" s="134" t="s">
        <v>264</v>
      </c>
      <c r="B7" s="70">
        <v>1022709699648</v>
      </c>
      <c r="C7" t="s">
        <v>265</v>
      </c>
      <c r="D7" s="95">
        <f>B7*E7</f>
        <v>6954425957.6063995</v>
      </c>
      <c r="E7">
        <v>6.7999999999999996E-3</v>
      </c>
    </row>
    <row r="8" spans="1:23" x14ac:dyDescent="0.35">
      <c r="A8" s="134" t="s">
        <v>266</v>
      </c>
      <c r="B8" s="70">
        <v>240724053227.60001</v>
      </c>
      <c r="C8" t="s">
        <v>267</v>
      </c>
      <c r="D8" s="95">
        <f t="shared" si="0"/>
        <v>2888688638.7312002</v>
      </c>
      <c r="E8">
        <v>1.2E-2</v>
      </c>
    </row>
    <row r="9" spans="1:23" x14ac:dyDescent="0.35">
      <c r="A9" s="134" t="s">
        <v>268</v>
      </c>
      <c r="B9" s="70">
        <v>240753895464</v>
      </c>
      <c r="C9" t="s">
        <v>265</v>
      </c>
      <c r="D9" s="95">
        <f t="shared" si="0"/>
        <v>1637126489.1552</v>
      </c>
      <c r="E9">
        <v>6.7999999999999996E-3</v>
      </c>
    </row>
    <row r="12" spans="1:23" x14ac:dyDescent="0.35">
      <c r="H12" s="51" t="e">
        <f>SUM(#REF!)</f>
        <v>#REF!</v>
      </c>
    </row>
    <row r="14" spans="1:23" x14ac:dyDescent="0.35">
      <c r="A14" s="135" t="s">
        <v>269</v>
      </c>
      <c r="B14" s="135">
        <v>2018</v>
      </c>
      <c r="C14" s="135">
        <v>2019</v>
      </c>
      <c r="D14" s="135">
        <v>2020</v>
      </c>
      <c r="E14" s="135">
        <v>2021</v>
      </c>
      <c r="F14" s="135">
        <v>2022</v>
      </c>
      <c r="G14" s="225" t="s">
        <v>42</v>
      </c>
      <c r="H14" s="51">
        <f>AVERAGE(F15:F20)</f>
        <v>0.39699999999999996</v>
      </c>
    </row>
    <row r="15" spans="1:23" x14ac:dyDescent="0.35">
      <c r="A15" s="133" t="s">
        <v>270</v>
      </c>
      <c r="B15" s="122">
        <f>Vinamilk!C8</f>
        <v>0.46800000000000003</v>
      </c>
      <c r="C15" s="122">
        <f>Vinamilk!D8</f>
        <v>0.47199999999999998</v>
      </c>
      <c r="D15" s="122">
        <f>Vinamilk!E8</f>
        <v>0.46400000000000002</v>
      </c>
      <c r="E15" s="122">
        <f>Vinamilk!F8</f>
        <v>0.43099999999999999</v>
      </c>
      <c r="F15" s="122">
        <f>Vinamilk!G8</f>
        <v>0.39900000000000002</v>
      </c>
      <c r="G15" s="226">
        <f t="shared" ref="G15:G33" si="1">(F15-C15)/C15</f>
        <v>-0.15466101694915246</v>
      </c>
      <c r="H15" s="84">
        <v>0.29299999999999998</v>
      </c>
      <c r="I15" s="51" t="e">
        <f>H15-H16</f>
        <v>#VALUE!</v>
      </c>
      <c r="J15" s="51">
        <f>SUM(H15:H20)</f>
        <v>0.29299999999999998</v>
      </c>
    </row>
    <row r="16" spans="1:23" x14ac:dyDescent="0.35">
      <c r="A16" s="133" t="s">
        <v>247</v>
      </c>
      <c r="B16" s="122">
        <f>Morigana!C7</f>
        <v>0.32100000000000001</v>
      </c>
      <c r="C16" s="122">
        <f>Morigana!D7</f>
        <v>0.317</v>
      </c>
      <c r="D16" s="122">
        <f>Morigana!E7</f>
        <v>0.32</v>
      </c>
      <c r="E16" s="122">
        <f>Morigana!F7</f>
        <v>0.32600000000000001</v>
      </c>
      <c r="F16" s="122">
        <f>Morigana!G7</f>
        <v>0.24299999999999999</v>
      </c>
      <c r="G16" s="51">
        <f t="shared" si="1"/>
        <v>-0.23343848580441642</v>
      </c>
      <c r="H16" s="84" t="s">
        <v>271</v>
      </c>
    </row>
    <row r="17" spans="1:9" x14ac:dyDescent="0.35">
      <c r="A17" s="133" t="s">
        <v>249</v>
      </c>
      <c r="B17" s="122">
        <f>Hatsun!C9</f>
        <v>0.27800000000000002</v>
      </c>
      <c r="C17" s="122">
        <f>Hatsun!D9</f>
        <v>0.29499999999999998</v>
      </c>
      <c r="D17" s="122">
        <f>Hatsun!E9</f>
        <v>0.28899999999999998</v>
      </c>
      <c r="E17" s="122">
        <f>Hatsun!F9</f>
        <v>0.314</v>
      </c>
      <c r="F17" s="122">
        <f>Hatsun!G9</f>
        <v>0.30499999999999999</v>
      </c>
      <c r="G17" s="51">
        <f t="shared" si="1"/>
        <v>3.3898305084745797E-2</v>
      </c>
      <c r="H17" s="84" t="s">
        <v>272</v>
      </c>
    </row>
    <row r="18" spans="1:9" x14ac:dyDescent="0.35">
      <c r="A18" s="133" t="s">
        <v>250</v>
      </c>
      <c r="B18" s="122">
        <f>Yakult!C7</f>
        <v>0.57299999999999995</v>
      </c>
      <c r="C18" s="122">
        <f>Yakult!D7</f>
        <v>0.57999999999999996</v>
      </c>
      <c r="D18" s="122">
        <f>Yakult!E7</f>
        <v>0.57799999999999996</v>
      </c>
      <c r="E18" s="122">
        <f>Yakult!F7</f>
        <v>0.58799999999999997</v>
      </c>
      <c r="F18" s="122">
        <f>Yakult!G7</f>
        <v>0.59799999999999998</v>
      </c>
      <c r="G18" s="51">
        <f t="shared" si="1"/>
        <v>3.103448275862072E-2</v>
      </c>
      <c r="H18" s="84" t="s">
        <v>271</v>
      </c>
    </row>
    <row r="19" spans="1:9" x14ac:dyDescent="0.35">
      <c r="A19" s="133" t="s">
        <v>251</v>
      </c>
      <c r="B19" s="122">
        <f>Bright!C7</f>
        <v>0.33100000000000002</v>
      </c>
      <c r="C19" s="122">
        <f>Bright!D7</f>
        <v>0.311</v>
      </c>
      <c r="D19" s="122">
        <f>Bright!E7</f>
        <v>0.219</v>
      </c>
      <c r="E19" s="122">
        <f>Bright!F7</f>
        <v>0.18</v>
      </c>
      <c r="F19" s="122">
        <f>Bright!G7</f>
        <v>0.182</v>
      </c>
      <c r="G19" s="51">
        <f t="shared" si="1"/>
        <v>-0.41479099678456594</v>
      </c>
      <c r="H19" s="84" t="s">
        <v>272</v>
      </c>
      <c r="I19" s="51">
        <f>SUM(H15:H20)/6</f>
        <v>4.8833333333333333E-2</v>
      </c>
    </row>
    <row r="20" spans="1:9" x14ac:dyDescent="0.35">
      <c r="A20" s="133" t="s">
        <v>252</v>
      </c>
      <c r="B20" s="122">
        <f>Feihe!C9</f>
        <v>0.67500000000000004</v>
      </c>
      <c r="C20" s="122">
        <f>Feihe!D9</f>
        <v>0.7</v>
      </c>
      <c r="D20" s="122">
        <f>Feihe!E9</f>
        <v>0.72499999999999998</v>
      </c>
      <c r="E20" s="122">
        <f>Feihe!F9</f>
        <v>0.70299999999999996</v>
      </c>
      <c r="F20" s="122">
        <f>Feihe!G9</f>
        <v>0.65500000000000003</v>
      </c>
      <c r="G20" s="51">
        <f t="shared" si="1"/>
        <v>-6.4285714285714182E-2</v>
      </c>
      <c r="H20" s="84" t="s">
        <v>273</v>
      </c>
    </row>
    <row r="21" spans="1:9" x14ac:dyDescent="0.35">
      <c r="A21" s="133" t="s">
        <v>253</v>
      </c>
      <c r="B21" s="132"/>
      <c r="C21" s="122">
        <f>'Asia Pacific'!B14</f>
        <v>0.26300000000000001</v>
      </c>
      <c r="D21" s="122">
        <f>'Asia Pacific'!D14</f>
        <v>0.27300000000000002</v>
      </c>
      <c r="E21" s="122">
        <f>'Asia Pacific'!F14</f>
        <v>0.26800000000000002</v>
      </c>
      <c r="F21" s="122">
        <f>'Asia Pacific'!H14</f>
        <v>0.249</v>
      </c>
      <c r="G21" s="51">
        <f t="shared" si="1"/>
        <v>-5.3231939163498145E-2</v>
      </c>
    </row>
    <row r="22" spans="1:9" x14ac:dyDescent="0.35">
      <c r="B22" s="84">
        <f>F15/B15-1</f>
        <v>-0.14743589743589747</v>
      </c>
      <c r="G22" s="51" t="e">
        <f t="shared" si="1"/>
        <v>#DIV/0!</v>
      </c>
    </row>
    <row r="23" spans="1:9" x14ac:dyDescent="0.35">
      <c r="A23" s="135" t="s">
        <v>274</v>
      </c>
      <c r="B23" s="135">
        <v>2018</v>
      </c>
      <c r="C23" s="135">
        <v>2019</v>
      </c>
      <c r="D23" s="135">
        <v>2020</v>
      </c>
      <c r="E23" s="135">
        <v>2021</v>
      </c>
      <c r="F23" s="135">
        <v>2022</v>
      </c>
      <c r="G23" s="51">
        <f t="shared" si="1"/>
        <v>1.4858841010401188E-3</v>
      </c>
    </row>
    <row r="24" spans="1:9" x14ac:dyDescent="0.35">
      <c r="A24" s="133" t="s">
        <v>270</v>
      </c>
      <c r="B24" s="122">
        <f>Vinamilk!C12</f>
        <v>0.22600000000000001</v>
      </c>
      <c r="C24" s="122">
        <f>Vinamilk!D12</f>
        <v>0.22700000000000001</v>
      </c>
      <c r="D24" s="122">
        <f>Vinamilk!E12</f>
        <v>0.22700000000000001</v>
      </c>
      <c r="E24" s="122">
        <f>Vinamilk!F12</f>
        <v>0.20899999999999999</v>
      </c>
      <c r="F24" s="122">
        <f>Vinamilk!G12</f>
        <v>0.17499999999999999</v>
      </c>
      <c r="G24" s="226">
        <f t="shared" si="1"/>
        <v>-0.2290748898678415</v>
      </c>
    </row>
    <row r="25" spans="1:9" x14ac:dyDescent="0.35">
      <c r="A25" s="133" t="s">
        <v>247</v>
      </c>
      <c r="B25" s="122">
        <f>Morigana!C11</f>
        <v>3.5000000000000003E-2</v>
      </c>
      <c r="C25" s="122">
        <f>Morigana!D11</f>
        <v>3.4000000000000002E-2</v>
      </c>
      <c r="D25" s="122">
        <f>Morigana!E11</f>
        <v>3.4000000000000002E-2</v>
      </c>
      <c r="E25" s="122">
        <f>Morigana!F11</f>
        <v>0.04</v>
      </c>
      <c r="F25" s="122">
        <f>Morigana!G11</f>
        <v>5.1999999999999998E-2</v>
      </c>
      <c r="G25" s="51">
        <f t="shared" si="1"/>
        <v>0.52941176470588214</v>
      </c>
    </row>
    <row r="26" spans="1:9" x14ac:dyDescent="0.35">
      <c r="A26" s="133" t="s">
        <v>249</v>
      </c>
      <c r="B26" s="122">
        <f>Hatsun!C13</f>
        <v>4.5999999999999999E-2</v>
      </c>
      <c r="C26" s="122">
        <f>Hatsun!D13</f>
        <v>5.1999999999999998E-2</v>
      </c>
      <c r="D26" s="122">
        <f>Hatsun!E13</f>
        <v>4.8000000000000001E-2</v>
      </c>
      <c r="E26" s="122">
        <f>Hatsun!F13</f>
        <v>9.0999999999999998E-2</v>
      </c>
      <c r="F26" s="122">
        <f>Hatsun!G13</f>
        <v>6.5000000000000002E-2</v>
      </c>
      <c r="G26" s="51">
        <f t="shared" si="1"/>
        <v>0.25000000000000011</v>
      </c>
    </row>
    <row r="27" spans="1:9" x14ac:dyDescent="0.35">
      <c r="A27" s="133" t="s">
        <v>250</v>
      </c>
      <c r="B27" s="122">
        <f>Yakult!C11</f>
        <v>0.107</v>
      </c>
      <c r="C27" s="122">
        <f>Yakult!D11</f>
        <v>0.104</v>
      </c>
      <c r="D27" s="122">
        <f>Yakult!E11</f>
        <v>0.107</v>
      </c>
      <c r="E27" s="122">
        <f>Yakult!F11</f>
        <v>0.107</v>
      </c>
      <c r="F27" s="122">
        <f>Yakult!G11</f>
        <v>0.127</v>
      </c>
      <c r="G27" s="51">
        <f t="shared" si="1"/>
        <v>0.22115384615384623</v>
      </c>
    </row>
    <row r="28" spans="1:9" x14ac:dyDescent="0.35">
      <c r="A28" s="133" t="s">
        <v>251</v>
      </c>
      <c r="B28" s="122">
        <f>Bright!C11</f>
        <v>4.2000000000000003E-2</v>
      </c>
      <c r="C28" s="122">
        <f>Bright!D11</f>
        <v>0.05</v>
      </c>
      <c r="D28" s="122">
        <f>Bright!E11</f>
        <v>4.7E-2</v>
      </c>
      <c r="E28" s="122">
        <f>Bright!F11</f>
        <v>2.3E-2</v>
      </c>
      <c r="F28" s="122">
        <f>Bright!G11</f>
        <v>2.1999999999999999E-2</v>
      </c>
      <c r="G28" s="51">
        <f t="shared" si="1"/>
        <v>-0.56000000000000005</v>
      </c>
    </row>
    <row r="29" spans="1:9" x14ac:dyDescent="0.35">
      <c r="A29" s="133" t="s">
        <v>252</v>
      </c>
      <c r="B29" s="122">
        <f>Feihe!C13</f>
        <v>0.312</v>
      </c>
      <c r="C29" s="122">
        <f>Feihe!D13</f>
        <v>0.41899999999999998</v>
      </c>
      <c r="D29" s="122">
        <f>Feihe!E13</f>
        <v>0.53500000000000003</v>
      </c>
      <c r="E29" s="122">
        <f>Feihe!F13</f>
        <v>0.42699999999999999</v>
      </c>
      <c r="F29" s="122">
        <f>Feihe!G13</f>
        <v>0.315</v>
      </c>
      <c r="G29" s="51">
        <f t="shared" si="1"/>
        <v>-0.24821002386634841</v>
      </c>
    </row>
    <row r="30" spans="1:9" x14ac:dyDescent="0.35">
      <c r="A30" s="133" t="s">
        <v>253</v>
      </c>
      <c r="B30" s="132"/>
      <c r="C30" s="122">
        <f>'Asia Pacific'!B18</f>
        <v>0.105</v>
      </c>
      <c r="D30" s="122">
        <f>'Asia Pacific'!D18</f>
        <v>0.113</v>
      </c>
      <c r="E30" s="122">
        <f>'Asia Pacific'!F18</f>
        <v>0.11699999999999999</v>
      </c>
      <c r="F30" s="122">
        <f>'Asia Pacific'!H18</f>
        <v>0.11</v>
      </c>
      <c r="G30" s="51">
        <f t="shared" si="1"/>
        <v>4.7619047619047665E-2</v>
      </c>
    </row>
    <row r="31" spans="1:9" x14ac:dyDescent="0.35">
      <c r="B31" s="84">
        <f>F24/B24-1</f>
        <v>-0.22566371681415931</v>
      </c>
      <c r="G31" s="51" t="e">
        <f t="shared" si="1"/>
        <v>#DIV/0!</v>
      </c>
    </row>
    <row r="32" spans="1:9" x14ac:dyDescent="0.35">
      <c r="G32" s="51" t="e">
        <f t="shared" si="1"/>
        <v>#DIV/0!</v>
      </c>
    </row>
    <row r="33" spans="1:21" x14ac:dyDescent="0.35">
      <c r="A33" s="135" t="s">
        <v>275</v>
      </c>
      <c r="B33" s="135">
        <v>2019</v>
      </c>
      <c r="C33" s="135">
        <v>2020</v>
      </c>
      <c r="D33" s="135">
        <v>2021</v>
      </c>
      <c r="E33" s="135">
        <v>2022</v>
      </c>
      <c r="F33" s="135"/>
      <c r="G33" s="51">
        <f t="shared" si="1"/>
        <v>-1</v>
      </c>
    </row>
    <row r="34" spans="1:21" x14ac:dyDescent="0.35">
      <c r="A34" s="133" t="s">
        <v>270</v>
      </c>
      <c r="B34" s="193">
        <f>Vinamilk!D21</f>
        <v>1.37</v>
      </c>
      <c r="C34" s="193">
        <f>Vinamilk!E21</f>
        <v>1.28</v>
      </c>
      <c r="D34" s="193">
        <f>Vinamilk!F21</f>
        <v>1.2</v>
      </c>
      <c r="E34" s="193">
        <f>Vinamilk!G21</f>
        <v>1.18</v>
      </c>
      <c r="F34" s="193"/>
      <c r="G34" s="51">
        <f t="shared" ref="G34:G41" si="2">(E34-B34)/B34</f>
        <v>-0.13868613138686142</v>
      </c>
    </row>
    <row r="35" spans="1:21" x14ac:dyDescent="0.35">
      <c r="A35" s="133" t="s">
        <v>247</v>
      </c>
      <c r="B35" s="193">
        <f>Morigana!D20</f>
        <v>1.38</v>
      </c>
      <c r="C35" s="193">
        <f>Morigana!E20</f>
        <v>1.36</v>
      </c>
      <c r="D35" s="193">
        <f>Morigana!F20</f>
        <v>1.31</v>
      </c>
      <c r="E35" s="193">
        <f>Morigana!G20</f>
        <v>1.1000000000000001</v>
      </c>
      <c r="F35" s="193"/>
      <c r="G35" s="51">
        <f t="shared" si="2"/>
        <v>-0.20289855072463756</v>
      </c>
    </row>
    <row r="36" spans="1:21" x14ac:dyDescent="0.35">
      <c r="A36" s="133" t="s">
        <v>249</v>
      </c>
      <c r="B36" s="193">
        <f>Hatsun!D22</f>
        <v>2.23</v>
      </c>
      <c r="C36" s="193">
        <f>Hatsun!E22</f>
        <v>2.14</v>
      </c>
      <c r="D36" s="193">
        <f>Hatsun!F22</f>
        <v>1.9</v>
      </c>
      <c r="E36" s="193">
        <f>Hatsun!G22</f>
        <v>1.91</v>
      </c>
      <c r="F36" s="193"/>
      <c r="G36" s="51">
        <f t="shared" si="2"/>
        <v>-0.14349775784753366</v>
      </c>
      <c r="I36">
        <v>2019</v>
      </c>
      <c r="J36">
        <v>2020</v>
      </c>
      <c r="K36">
        <v>2021</v>
      </c>
      <c r="L36">
        <v>2022</v>
      </c>
    </row>
    <row r="37" spans="1:21" x14ac:dyDescent="0.35">
      <c r="A37" s="133" t="s">
        <v>250</v>
      </c>
      <c r="B37" s="193">
        <f>Yakult!D20</f>
        <v>0.65</v>
      </c>
      <c r="C37" s="193">
        <f>Yakult!E20</f>
        <v>0.65</v>
      </c>
      <c r="D37" s="193">
        <f>Yakult!F20</f>
        <v>0.61</v>
      </c>
      <c r="E37" s="193">
        <f>Yakult!G20</f>
        <v>0.63</v>
      </c>
      <c r="F37" s="193"/>
      <c r="G37" s="51">
        <f t="shared" si="2"/>
        <v>-3.0769230769230795E-2</v>
      </c>
      <c r="H37" t="s">
        <v>38</v>
      </c>
      <c r="I37">
        <f>Vinamilk!C100/1000</f>
        <v>29745.905999999999</v>
      </c>
      <c r="J37">
        <f>31967663/1000</f>
        <v>31967.663</v>
      </c>
      <c r="K37">
        <f>34640863/1000</f>
        <v>34640.862999999998</v>
      </c>
      <c r="L37">
        <f>36059016/1000</f>
        <v>36059.016000000003</v>
      </c>
    </row>
    <row r="38" spans="1:21" x14ac:dyDescent="0.35">
      <c r="A38" s="133" t="s">
        <v>251</v>
      </c>
      <c r="B38" s="193">
        <f>Bright!D20</f>
        <v>1.27</v>
      </c>
      <c r="C38" s="193">
        <f>Bright!E20</f>
        <v>1.34</v>
      </c>
      <c r="D38" s="193">
        <f>Bright!F20</f>
        <v>1.34</v>
      </c>
      <c r="E38" s="193">
        <f>Bright!G20</f>
        <v>1.18</v>
      </c>
      <c r="F38" s="193"/>
      <c r="G38" s="51">
        <f t="shared" si="2"/>
        <v>-7.0866141732283533E-2</v>
      </c>
      <c r="H38" t="s">
        <v>276</v>
      </c>
      <c r="I38" s="51">
        <f>C15</f>
        <v>0.47199999999999998</v>
      </c>
      <c r="J38" s="51">
        <f>D15</f>
        <v>0.46400000000000002</v>
      </c>
      <c r="K38" s="51">
        <f>E15</f>
        <v>0.43099999999999999</v>
      </c>
      <c r="L38" s="51">
        <f>F15</f>
        <v>0.39900000000000002</v>
      </c>
    </row>
    <row r="39" spans="1:21" x14ac:dyDescent="0.35">
      <c r="A39" s="133" t="s">
        <v>252</v>
      </c>
      <c r="B39" s="193">
        <f>Feihe!D22</f>
        <v>0.79</v>
      </c>
      <c r="C39" s="193">
        <f>Feihe!E22</f>
        <v>0.72</v>
      </c>
      <c r="D39" s="193">
        <f>Feihe!F22</f>
        <v>0.76</v>
      </c>
      <c r="E39" s="193">
        <f>Feihe!G22</f>
        <v>0.64</v>
      </c>
      <c r="F39" s="193"/>
      <c r="G39" s="51">
        <f t="shared" si="2"/>
        <v>-0.189873417721519</v>
      </c>
      <c r="H39" t="s">
        <v>277</v>
      </c>
      <c r="I39" s="51">
        <f>C24</f>
        <v>0.22700000000000001</v>
      </c>
      <c r="J39" s="51">
        <f>D24</f>
        <v>0.22700000000000001</v>
      </c>
      <c r="K39" s="51">
        <f>E24</f>
        <v>0.20899999999999999</v>
      </c>
      <c r="L39" s="51">
        <f>F24</f>
        <v>0.17499999999999999</v>
      </c>
    </row>
    <row r="40" spans="1:21" x14ac:dyDescent="0.35">
      <c r="A40" s="133" t="s">
        <v>253</v>
      </c>
      <c r="B40" s="193">
        <f>C40</f>
        <v>1</v>
      </c>
      <c r="C40" s="193">
        <v>1</v>
      </c>
      <c r="D40" s="193">
        <v>1</v>
      </c>
      <c r="E40" s="193">
        <v>1</v>
      </c>
      <c r="F40" s="193"/>
      <c r="G40" s="51">
        <f t="shared" si="2"/>
        <v>0</v>
      </c>
    </row>
    <row r="41" spans="1:21" x14ac:dyDescent="0.35">
      <c r="B41" s="143"/>
      <c r="C41" s="143"/>
      <c r="D41" s="143"/>
      <c r="E41" s="143"/>
      <c r="G41" s="51" t="e">
        <f t="shared" si="2"/>
        <v>#DIV/0!</v>
      </c>
      <c r="T41" s="438" t="s">
        <v>278</v>
      </c>
      <c r="U41" s="438" t="s">
        <v>279</v>
      </c>
    </row>
    <row r="42" spans="1:21" ht="15" thickBot="1" x14ac:dyDescent="0.4">
      <c r="A42" s="135" t="s">
        <v>280</v>
      </c>
      <c r="B42" s="133">
        <v>2019</v>
      </c>
      <c r="C42" s="135">
        <v>2020</v>
      </c>
      <c r="D42" s="135">
        <v>2021</v>
      </c>
      <c r="E42" s="135">
        <v>2022</v>
      </c>
      <c r="G42" s="51" t="e">
        <f t="shared" ref="G42:G50" si="3">(E44-B44)/B44</f>
        <v>#DIV/0!</v>
      </c>
      <c r="T42" s="440" t="s">
        <v>205</v>
      </c>
      <c r="U42" s="440">
        <f>T51*T50</f>
        <v>5860201408.3224001</v>
      </c>
    </row>
    <row r="43" spans="1:21" x14ac:dyDescent="0.35">
      <c r="A43" s="133" t="s">
        <v>270</v>
      </c>
      <c r="B43" s="116">
        <f>'BS IS'!K22/'BS IS'!C65</f>
        <v>2.8189635979183021</v>
      </c>
      <c r="C43" s="116">
        <f>'BS IS'!L22/'BS IS'!D65</f>
        <v>3.1777622716340677</v>
      </c>
      <c r="D43" s="116">
        <f>'BS IS'!M22/'BS IS'!E65</f>
        <v>3.5371864303957872</v>
      </c>
      <c r="E43" s="116">
        <f>'BS IS'!N22/'BS IS'!F65</f>
        <v>3.5430355669524949</v>
      </c>
      <c r="G43" s="51">
        <f t="shared" si="3"/>
        <v>1.4858841010401188E-3</v>
      </c>
      <c r="T43" s="440" t="s">
        <v>261</v>
      </c>
      <c r="U43" s="440">
        <v>1783193659.8168004</v>
      </c>
    </row>
    <row r="44" spans="1:21" x14ac:dyDescent="0.35">
      <c r="B44" s="135"/>
      <c r="G44" s="51">
        <f t="shared" si="3"/>
        <v>3.5087719298245647E-2</v>
      </c>
      <c r="T44" s="440" t="s">
        <v>263</v>
      </c>
      <c r="U44" s="440">
        <v>5103019709.2938004</v>
      </c>
    </row>
    <row r="45" spans="1:21" ht="15" thickBot="1" x14ac:dyDescent="0.4">
      <c r="A45" s="135" t="s">
        <v>281</v>
      </c>
      <c r="B45" s="133">
        <v>2019</v>
      </c>
      <c r="C45" s="135">
        <v>2020</v>
      </c>
      <c r="D45" s="135">
        <v>2021</v>
      </c>
      <c r="E45" s="135">
        <v>2022</v>
      </c>
      <c r="G45" s="51">
        <f t="shared" si="3"/>
        <v>-0.12500000000000011</v>
      </c>
      <c r="T45" s="440" t="s">
        <v>264</v>
      </c>
      <c r="U45" s="440">
        <v>6954425957.6063995</v>
      </c>
    </row>
    <row r="46" spans="1:21" ht="15" thickBot="1" x14ac:dyDescent="0.4">
      <c r="A46" s="133" t="s">
        <v>270</v>
      </c>
      <c r="B46" s="116">
        <f>Vinamilk!D62</f>
        <v>5.7</v>
      </c>
      <c r="C46" s="116">
        <f>Vinamilk!E62</f>
        <v>6.5</v>
      </c>
      <c r="D46" s="116">
        <f>Vinamilk!F62</f>
        <v>5.9</v>
      </c>
      <c r="E46" s="116">
        <f>Vinamilk!G62</f>
        <v>5.9</v>
      </c>
      <c r="G46" s="51">
        <f t="shared" si="3"/>
        <v>-0.10843373493975907</v>
      </c>
      <c r="T46" s="440" t="s">
        <v>266</v>
      </c>
      <c r="U46" s="440">
        <v>2888688638.7312002</v>
      </c>
    </row>
    <row r="47" spans="1:21" ht="15" thickBot="1" x14ac:dyDescent="0.4">
      <c r="A47" s="133" t="s">
        <v>247</v>
      </c>
      <c r="B47" s="117">
        <f>Morigana!D61</f>
        <v>6.4</v>
      </c>
      <c r="C47" s="117">
        <f>Morigana!E61</f>
        <v>6</v>
      </c>
      <c r="D47" s="117">
        <f>Morigana!F61</f>
        <v>5.8</v>
      </c>
      <c r="E47" s="117">
        <f>Morigana!G61</f>
        <v>5.6</v>
      </c>
      <c r="G47" s="51">
        <f t="shared" si="3"/>
        <v>-4.9999999999999968E-2</v>
      </c>
      <c r="T47" s="440" t="s">
        <v>268</v>
      </c>
      <c r="U47" s="440">
        <v>1637126489.1552</v>
      </c>
    </row>
    <row r="48" spans="1:21" ht="15" thickBot="1" x14ac:dyDescent="0.4">
      <c r="A48" s="133" t="s">
        <v>249</v>
      </c>
      <c r="B48" s="117">
        <f>Hatsun!D63</f>
        <v>8.3000000000000007</v>
      </c>
      <c r="C48" s="117">
        <f>Hatsun!E63</f>
        <v>9.4</v>
      </c>
      <c r="D48" s="117">
        <f>Hatsun!F63</f>
        <v>7.9</v>
      </c>
      <c r="E48" s="117">
        <f>Hatsun!G63</f>
        <v>7.4</v>
      </c>
      <c r="G48" s="51">
        <f t="shared" si="3"/>
        <v>-0.12500000000000006</v>
      </c>
      <c r="T48" t="s">
        <v>205</v>
      </c>
      <c r="U48" s="95"/>
    </row>
    <row r="49" spans="1:21" ht="15" thickBot="1" x14ac:dyDescent="0.4">
      <c r="A49" s="133" t="s">
        <v>250</v>
      </c>
      <c r="B49" s="117">
        <f>Yakult!D61</f>
        <v>6</v>
      </c>
      <c r="C49" s="117">
        <f>Yakult!E61</f>
        <v>5.9</v>
      </c>
      <c r="D49" s="117">
        <f>Yakult!F61</f>
        <v>5.6</v>
      </c>
      <c r="E49" s="117">
        <f>Yakult!G61</f>
        <v>5.7</v>
      </c>
      <c r="G49" s="51">
        <f t="shared" si="3"/>
        <v>-0.34426229508196715</v>
      </c>
    </row>
    <row r="50" spans="1:21" ht="15" thickBot="1" x14ac:dyDescent="0.4">
      <c r="A50" s="133" t="s">
        <v>251</v>
      </c>
      <c r="B50" s="117">
        <f>Bright!D61</f>
        <v>7.2</v>
      </c>
      <c r="C50" s="117">
        <f>Bright!E61</f>
        <v>7.6</v>
      </c>
      <c r="D50" s="117">
        <f>Bright!F61</f>
        <v>8</v>
      </c>
      <c r="E50" s="117">
        <f>Bright!G61</f>
        <v>6.3</v>
      </c>
      <c r="G50" s="51">
        <f t="shared" si="3"/>
        <v>-8.9285714285714288E-2</v>
      </c>
      <c r="T50">
        <v>4.1E-5</v>
      </c>
    </row>
    <row r="51" spans="1:21" ht="34" thickBot="1" x14ac:dyDescent="0.7">
      <c r="A51" s="133" t="s">
        <v>252</v>
      </c>
      <c r="B51" s="117">
        <f>Feihe!D63</f>
        <v>6.1</v>
      </c>
      <c r="C51" s="117">
        <f>Feihe!E63</f>
        <v>5.2</v>
      </c>
      <c r="D51" s="117">
        <f>Feihe!F63</f>
        <v>4.5</v>
      </c>
      <c r="E51" s="117">
        <f>Feihe!G63</f>
        <v>4</v>
      </c>
      <c r="G51" s="51">
        <f t="shared" ref="G51:G69" si="4">(E55-B55)/B55</f>
        <v>2.3028733694005763</v>
      </c>
      <c r="T51">
        <v>142931741666400</v>
      </c>
      <c r="U51" s="454" t="s">
        <v>282</v>
      </c>
    </row>
    <row r="52" spans="1:21" x14ac:dyDescent="0.35">
      <c r="A52" s="133" t="s">
        <v>253</v>
      </c>
      <c r="B52" s="117">
        <v>5.6</v>
      </c>
      <c r="C52" s="117">
        <v>5.7</v>
      </c>
      <c r="D52" s="117">
        <v>5.4</v>
      </c>
      <c r="E52" s="117">
        <v>5.0999999999999996</v>
      </c>
      <c r="G52" s="51">
        <f t="shared" si="4"/>
        <v>2.3028733694005759</v>
      </c>
    </row>
    <row r="53" spans="1:21" x14ac:dyDescent="0.35">
      <c r="A53" s="133"/>
      <c r="B53" s="269"/>
      <c r="C53" s="269"/>
      <c r="D53" s="269"/>
      <c r="E53" s="269"/>
      <c r="G53" s="51">
        <f t="shared" si="4"/>
        <v>1.4858841010401188E-3</v>
      </c>
    </row>
    <row r="54" spans="1:21" ht="15" thickBot="1" x14ac:dyDescent="0.4">
      <c r="A54" s="135" t="s">
        <v>283</v>
      </c>
      <c r="B54" s="133">
        <v>2019</v>
      </c>
      <c r="C54" s="135">
        <v>2020</v>
      </c>
      <c r="D54" s="135">
        <v>2021</v>
      </c>
      <c r="E54" s="135">
        <v>2022</v>
      </c>
      <c r="G54" s="51">
        <f t="shared" si="4"/>
        <v>-0.23076923076923081</v>
      </c>
    </row>
    <row r="55" spans="1:21" x14ac:dyDescent="0.35">
      <c r="A55" s="133" t="s">
        <v>270</v>
      </c>
      <c r="B55" s="116">
        <f>B56/1000000</f>
        <v>186969.681828</v>
      </c>
      <c r="C55" s="116">
        <f t="shared" ref="C55:E55" si="5">C56/1000000</f>
        <v>308569.32883499999</v>
      </c>
      <c r="D55" s="116">
        <f t="shared" si="5"/>
        <v>202338.23223200001</v>
      </c>
      <c r="E55" s="116">
        <f t="shared" si="5"/>
        <v>617537.18299500004</v>
      </c>
      <c r="G55" s="51">
        <f t="shared" si="4"/>
        <v>-0.11956521739130432</v>
      </c>
    </row>
    <row r="56" spans="1:21" x14ac:dyDescent="0.35">
      <c r="B56" s="69">
        <v>186969681828</v>
      </c>
      <c r="C56" s="69">
        <v>308569328835</v>
      </c>
      <c r="D56" s="69">
        <v>202338232232</v>
      </c>
      <c r="E56" s="69">
        <v>617537182995</v>
      </c>
      <c r="G56" s="51">
        <f t="shared" si="4"/>
        <v>-0.13497536945812816</v>
      </c>
    </row>
    <row r="57" spans="1:21" ht="15" thickBot="1" x14ac:dyDescent="0.4">
      <c r="A57" s="135" t="s">
        <v>284</v>
      </c>
      <c r="B57" s="135">
        <v>2019</v>
      </c>
      <c r="C57" s="135">
        <v>2020</v>
      </c>
      <c r="D57" s="135">
        <v>2021</v>
      </c>
      <c r="E57" s="135">
        <v>2022</v>
      </c>
      <c r="G57" s="51">
        <f t="shared" si="4"/>
        <v>7.9999999999999946E-2</v>
      </c>
    </row>
    <row r="58" spans="1:21" ht="15" thickBot="1" x14ac:dyDescent="0.4">
      <c r="A58" s="133" t="s">
        <v>270</v>
      </c>
      <c r="B58" s="133">
        <f>Vinamilk!D58</f>
        <v>14.3</v>
      </c>
      <c r="C58" s="117">
        <v>13.7</v>
      </c>
      <c r="D58" s="117">
        <v>12.2</v>
      </c>
      <c r="E58" s="117">
        <v>11</v>
      </c>
      <c r="G58" s="51">
        <f t="shared" si="4"/>
        <v>1.6949152542372819E-2</v>
      </c>
    </row>
    <row r="59" spans="1:21" ht="15" thickBot="1" x14ac:dyDescent="0.4">
      <c r="A59" s="133" t="s">
        <v>247</v>
      </c>
      <c r="B59" s="133">
        <f>Morigana!D57</f>
        <v>9.1999999999999993</v>
      </c>
      <c r="C59" s="117">
        <v>9.3000000000000007</v>
      </c>
      <c r="D59" s="117">
        <v>9.5</v>
      </c>
      <c r="E59" s="117">
        <v>8.1</v>
      </c>
      <c r="G59" s="51">
        <f t="shared" si="4"/>
        <v>0.24299065420560761</v>
      </c>
    </row>
    <row r="60" spans="1:21" x14ac:dyDescent="0.35">
      <c r="A60" s="133" t="s">
        <v>249</v>
      </c>
      <c r="B60" s="133">
        <v>10.15</v>
      </c>
      <c r="C60" s="117">
        <v>10.5</v>
      </c>
      <c r="D60" s="117">
        <v>10.6</v>
      </c>
      <c r="E60" s="117">
        <v>8.7799999999999994</v>
      </c>
      <c r="G60" s="51">
        <f t="shared" si="4"/>
        <v>5.3191489361702128E-2</v>
      </c>
    </row>
    <row r="61" spans="1:21" x14ac:dyDescent="0.35">
      <c r="A61" s="133" t="s">
        <v>250</v>
      </c>
      <c r="B61" s="223">
        <f>Yakult!D57</f>
        <v>7.5</v>
      </c>
      <c r="C61" s="223">
        <f>Yakult!E57</f>
        <v>7.8</v>
      </c>
      <c r="D61" s="223">
        <f>Yakult!F57</f>
        <v>7.6</v>
      </c>
      <c r="E61" s="223">
        <f>Yakult!G57</f>
        <v>8.1</v>
      </c>
      <c r="G61" s="51" t="e">
        <f t="shared" si="4"/>
        <v>#DIV/0!</v>
      </c>
    </row>
    <row r="62" spans="1:21" x14ac:dyDescent="0.35">
      <c r="A62" s="133" t="s">
        <v>251</v>
      </c>
      <c r="B62" s="223">
        <f>Bright!D57</f>
        <v>11.8</v>
      </c>
      <c r="C62" s="223">
        <f>Bright!E57</f>
        <v>12.1</v>
      </c>
      <c r="D62" s="223">
        <f>Bright!F57</f>
        <v>12.9</v>
      </c>
      <c r="E62" s="223">
        <f>Bright!G57</f>
        <v>12</v>
      </c>
      <c r="G62" s="51">
        <f t="shared" si="4"/>
        <v>1.4858841010401188E-3</v>
      </c>
    </row>
    <row r="63" spans="1:21" ht="15" thickBot="1" x14ac:dyDescent="0.4">
      <c r="A63" s="133" t="s">
        <v>252</v>
      </c>
      <c r="B63" s="133">
        <f>Feihe!D59</f>
        <v>21.4</v>
      </c>
      <c r="C63" s="133">
        <f>Feihe!E59</f>
        <v>30.8</v>
      </c>
      <c r="D63" s="133">
        <f>Feihe!F59</f>
        <v>33.299999999999997</v>
      </c>
      <c r="E63" s="133">
        <f>Feihe!G59</f>
        <v>26.6</v>
      </c>
      <c r="G63" s="51">
        <f t="shared" si="4"/>
        <v>-0.15</v>
      </c>
    </row>
    <row r="64" spans="1:21" x14ac:dyDescent="0.35">
      <c r="A64" s="133" t="s">
        <v>253</v>
      </c>
      <c r="B64" s="133">
        <v>9.4</v>
      </c>
      <c r="C64" s="117">
        <v>9.9</v>
      </c>
      <c r="D64" s="117">
        <v>9.8000000000000007</v>
      </c>
      <c r="E64" s="117">
        <v>9.9</v>
      </c>
      <c r="G64" s="51">
        <f t="shared" si="4"/>
        <v>-0.33846153846153848</v>
      </c>
    </row>
    <row r="65" spans="1:7" x14ac:dyDescent="0.35">
      <c r="G65" s="51">
        <f t="shared" si="4"/>
        <v>0.36718749999999994</v>
      </c>
    </row>
    <row r="66" spans="1:7" ht="15" thickBot="1" x14ac:dyDescent="0.4">
      <c r="A66" s="135" t="s">
        <v>285</v>
      </c>
      <c r="B66" s="135">
        <v>2019</v>
      </c>
      <c r="C66" s="135">
        <v>2020</v>
      </c>
      <c r="D66" s="135">
        <v>2021</v>
      </c>
      <c r="E66" s="135">
        <v>2022</v>
      </c>
      <c r="G66" s="51">
        <f t="shared" si="4"/>
        <v>-0.4705882352941177</v>
      </c>
    </row>
    <row r="67" spans="1:7" ht="15" thickBot="1" x14ac:dyDescent="0.4">
      <c r="A67" s="133" t="s">
        <v>270</v>
      </c>
      <c r="B67" s="224">
        <f>Vinamilk!D51</f>
        <v>0.2</v>
      </c>
      <c r="C67" s="224">
        <f>Vinamilk!E51</f>
        <v>0.24</v>
      </c>
      <c r="D67" s="224">
        <f>Vinamilk!F51</f>
        <v>0.28999999999999998</v>
      </c>
      <c r="E67" s="224">
        <f>Vinamilk!G51</f>
        <v>0.17</v>
      </c>
      <c r="G67" s="51">
        <f t="shared" si="4"/>
        <v>0</v>
      </c>
    </row>
    <row r="68" spans="1:7" ht="15" thickBot="1" x14ac:dyDescent="0.4">
      <c r="A68" s="133" t="s">
        <v>247</v>
      </c>
      <c r="B68" s="224">
        <f>Morigana!D50</f>
        <v>0.65</v>
      </c>
      <c r="C68" s="224">
        <f>Morigana!E50</f>
        <v>0.56000000000000005</v>
      </c>
      <c r="D68" s="224">
        <f>Morigana!F50</f>
        <v>0.52</v>
      </c>
      <c r="E68" s="224">
        <f>Morigana!G50</f>
        <v>0.43</v>
      </c>
      <c r="G68" s="51">
        <f t="shared" si="4"/>
        <v>-0.84210526315789469</v>
      </c>
    </row>
    <row r="69" spans="1:7" ht="15" thickBot="1" x14ac:dyDescent="0.4">
      <c r="A69" s="133" t="s">
        <v>249</v>
      </c>
      <c r="B69" s="224">
        <f>Hatsun!D52</f>
        <v>1.28</v>
      </c>
      <c r="C69" s="224">
        <f>Hatsun!E52</f>
        <v>1.59</v>
      </c>
      <c r="D69" s="224">
        <f>Hatsun!F52</f>
        <v>1.59</v>
      </c>
      <c r="E69" s="224">
        <f>Hatsun!G52</f>
        <v>1.75</v>
      </c>
      <c r="G69" s="51">
        <f t="shared" si="4"/>
        <v>0.27329192546583853</v>
      </c>
    </row>
    <row r="70" spans="1:7" ht="15" thickBot="1" x14ac:dyDescent="0.4">
      <c r="A70" s="133" t="s">
        <v>250</v>
      </c>
      <c r="B70" s="224">
        <f>Yakult!D50</f>
        <v>0.34</v>
      </c>
      <c r="C70" s="224">
        <f>Yakult!E50</f>
        <v>0.31</v>
      </c>
      <c r="D70" s="224">
        <f>Yakult!F50</f>
        <v>0.24</v>
      </c>
      <c r="E70" s="224">
        <f>Yakult!G50</f>
        <v>0.18</v>
      </c>
    </row>
    <row r="71" spans="1:7" ht="15" thickBot="1" x14ac:dyDescent="0.4">
      <c r="A71" s="133" t="s">
        <v>251</v>
      </c>
      <c r="B71" s="224">
        <f>Bright!D50</f>
        <v>0.51</v>
      </c>
      <c r="C71" s="224">
        <f>Bright!E50</f>
        <v>0.47</v>
      </c>
      <c r="D71" s="224">
        <f>Bright!F50</f>
        <v>0.52</v>
      </c>
      <c r="E71" s="224">
        <f>Bright!G50</f>
        <v>0.51</v>
      </c>
    </row>
    <row r="72" spans="1:7" ht="15" thickBot="1" x14ac:dyDescent="0.4">
      <c r="A72" s="133" t="s">
        <v>252</v>
      </c>
      <c r="B72" s="224">
        <f>Feihe!D52</f>
        <v>0.38</v>
      </c>
      <c r="C72" s="224">
        <f>Feihe!E52</f>
        <v>0.08</v>
      </c>
      <c r="D72" s="224">
        <f>Feihe!F52</f>
        <v>0.05</v>
      </c>
      <c r="E72" s="224">
        <f>Feihe!G52</f>
        <v>0.06</v>
      </c>
    </row>
    <row r="73" spans="1:7" x14ac:dyDescent="0.35">
      <c r="A73" s="133" t="s">
        <v>253</v>
      </c>
      <c r="B73" s="224">
        <v>0.48299999999999998</v>
      </c>
      <c r="C73" s="224">
        <v>0.60699999999999998</v>
      </c>
      <c r="D73" s="224">
        <v>0.621</v>
      </c>
      <c r="E73" s="224">
        <v>0.61499999999999999</v>
      </c>
      <c r="F73" s="84">
        <f>(E95-C95)/C95</f>
        <v>0.12798411319588798</v>
      </c>
    </row>
    <row r="74" spans="1:7" x14ac:dyDescent="0.35">
      <c r="A74" s="133"/>
      <c r="B74" s="264"/>
      <c r="C74" s="264"/>
      <c r="D74" s="264"/>
      <c r="E74" s="264"/>
      <c r="F74" s="84">
        <f>(E100-C100)/C100</f>
        <v>0.12894701379328202</v>
      </c>
    </row>
    <row r="75" spans="1:7" ht="15" thickBot="1" x14ac:dyDescent="0.4">
      <c r="A75" s="135" t="s">
        <v>286</v>
      </c>
      <c r="B75" s="135">
        <v>2019</v>
      </c>
      <c r="C75" s="135">
        <v>2020</v>
      </c>
      <c r="D75" s="135">
        <v>2021</v>
      </c>
      <c r="E75" s="135">
        <v>2022</v>
      </c>
      <c r="F75" s="84" t="e">
        <f>(E101-C101)/C101</f>
        <v>#DIV/0!</v>
      </c>
    </row>
    <row r="76" spans="1:7" ht="15" thickBot="1" x14ac:dyDescent="0.4">
      <c r="A76" s="133" t="s">
        <v>270</v>
      </c>
      <c r="B76" s="224">
        <f>Vinamilk!D42</f>
        <v>1.71</v>
      </c>
      <c r="C76" s="224">
        <f>Vinamilk!E42</f>
        <v>2.09</v>
      </c>
      <c r="D76" s="224">
        <f>Vinamilk!F42</f>
        <v>2.12</v>
      </c>
      <c r="E76" s="224">
        <f>Vinamilk!G42</f>
        <v>2.06</v>
      </c>
      <c r="F76" s="84">
        <f>(E102-C102)/C102</f>
        <v>9.9009900990099011E-4</v>
      </c>
    </row>
    <row r="77" spans="1:7" ht="15" thickBot="1" x14ac:dyDescent="0.4">
      <c r="A77" s="133" t="s">
        <v>247</v>
      </c>
      <c r="B77" s="224">
        <f>Morigana!D41</f>
        <v>0.86</v>
      </c>
      <c r="C77" s="224">
        <f>Morigana!E41</f>
        <v>0.97</v>
      </c>
      <c r="D77" s="224">
        <f>Morigana!F41</f>
        <v>1.07</v>
      </c>
      <c r="E77" s="224">
        <f>Morigana!G41</f>
        <v>1.1499999999999999</v>
      </c>
      <c r="F77" s="84">
        <f>(E103-C103)/C103</f>
        <v>0.12894701379328202</v>
      </c>
    </row>
    <row r="78" spans="1:7" ht="15" thickBot="1" x14ac:dyDescent="0.4">
      <c r="A78" s="133" t="s">
        <v>249</v>
      </c>
      <c r="B78" s="224">
        <f>Hatsun!D43</f>
        <v>0.6</v>
      </c>
      <c r="C78" s="224">
        <f>Hatsun!E43</f>
        <v>0.52</v>
      </c>
      <c r="D78" s="224">
        <f>Hatsun!F43</f>
        <v>0.54</v>
      </c>
      <c r="E78" s="224">
        <f>Hatsun!G43</f>
        <v>0.56000000000000005</v>
      </c>
    </row>
    <row r="79" spans="1:7" ht="15" thickBot="1" x14ac:dyDescent="0.4">
      <c r="A79" s="133" t="s">
        <v>250</v>
      </c>
      <c r="B79" s="224">
        <f>Yakult!D41</f>
        <v>2.14</v>
      </c>
      <c r="C79" s="224">
        <f>Yakult!E41</f>
        <v>2.44</v>
      </c>
      <c r="D79" s="224">
        <f>Yakult!F41</f>
        <v>2.85</v>
      </c>
      <c r="E79" s="224">
        <f>Yakult!G41</f>
        <v>3.36</v>
      </c>
    </row>
    <row r="80" spans="1:7" ht="15" thickBot="1" x14ac:dyDescent="0.4">
      <c r="A80" s="133" t="s">
        <v>251</v>
      </c>
      <c r="B80" s="224">
        <f>Bright!D41</f>
        <v>0.88</v>
      </c>
      <c r="C80" s="224">
        <f>Bright!E41</f>
        <v>0.99</v>
      </c>
      <c r="D80" s="224">
        <f>Bright!F41</f>
        <v>1.06</v>
      </c>
      <c r="E80" s="224">
        <f>Bright!G41</f>
        <v>0.92</v>
      </c>
    </row>
    <row r="81" spans="1:12" ht="15" thickBot="1" x14ac:dyDescent="0.4">
      <c r="A81" s="133" t="s">
        <v>252</v>
      </c>
      <c r="B81" s="224">
        <f>Feihe!D43</f>
        <v>2.3199999999999998</v>
      </c>
      <c r="C81" s="224">
        <f>Feihe!E43</f>
        <v>2.61</v>
      </c>
      <c r="D81" s="224">
        <f>Feihe!F43</f>
        <v>2.88</v>
      </c>
      <c r="E81" s="224">
        <f>Feihe!G43</f>
        <v>2.98</v>
      </c>
    </row>
    <row r="82" spans="1:12" x14ac:dyDescent="0.35">
      <c r="A82" s="133" t="s">
        <v>253</v>
      </c>
      <c r="B82" s="224">
        <v>1.4</v>
      </c>
      <c r="C82" s="224">
        <v>1.5</v>
      </c>
      <c r="D82" s="224">
        <v>1.7</v>
      </c>
      <c r="E82" s="224">
        <v>1.7</v>
      </c>
    </row>
    <row r="84" spans="1:12" ht="15" thickBot="1" x14ac:dyDescent="0.4">
      <c r="A84" s="135" t="s">
        <v>287</v>
      </c>
      <c r="B84" s="135">
        <v>2019</v>
      </c>
      <c r="C84" s="135">
        <v>2020</v>
      </c>
      <c r="D84" s="135">
        <v>2021</v>
      </c>
      <c r="E84" s="135">
        <v>2022</v>
      </c>
    </row>
    <row r="85" spans="1:12" ht="15" thickBot="1" x14ac:dyDescent="0.4">
      <c r="A85" s="133" t="s">
        <v>270</v>
      </c>
      <c r="B85" s="224">
        <f>Vinamilk!D40</f>
        <v>1.37</v>
      </c>
      <c r="C85" s="224">
        <f>Vinamilk!E40</f>
        <v>1.74</v>
      </c>
      <c r="D85" s="224">
        <f>Vinamilk!F40</f>
        <v>1.72</v>
      </c>
      <c r="E85" s="224">
        <f>Vinamilk!G40</f>
        <v>1.7</v>
      </c>
    </row>
    <row r="86" spans="1:12" ht="15" thickBot="1" x14ac:dyDescent="0.4">
      <c r="A86" s="133" t="s">
        <v>247</v>
      </c>
      <c r="B86" s="224">
        <f>Morigana!D39</f>
        <v>0.47</v>
      </c>
      <c r="C86" s="224">
        <f>Morigana!E39</f>
        <v>0.51</v>
      </c>
      <c r="D86" s="224">
        <f>Morigana!F39</f>
        <v>0.61</v>
      </c>
      <c r="E86" s="224">
        <f>Morigana!G39</f>
        <v>0.66</v>
      </c>
    </row>
    <row r="87" spans="1:12" ht="15" thickBot="1" x14ac:dyDescent="0.4">
      <c r="A87" s="133" t="s">
        <v>249</v>
      </c>
      <c r="B87" s="224">
        <f>Hatsun!D41</f>
        <v>0.14000000000000001</v>
      </c>
      <c r="C87" s="224">
        <f>Hatsun!E41</f>
        <v>0.12</v>
      </c>
      <c r="D87" s="224">
        <f>Hatsun!F41</f>
        <v>0.1</v>
      </c>
      <c r="E87" s="224">
        <f>Hatsun!G41</f>
        <v>0.13</v>
      </c>
    </row>
    <row r="88" spans="1:12" ht="15" thickBot="1" x14ac:dyDescent="0.4">
      <c r="A88" s="133" t="s">
        <v>250</v>
      </c>
      <c r="B88" s="224">
        <f>Yakult!D39</f>
        <v>1.89</v>
      </c>
      <c r="C88" s="224">
        <f>Yakult!E39</f>
        <v>2.17</v>
      </c>
      <c r="D88" s="224">
        <f>Yakult!F39</f>
        <v>2.56</v>
      </c>
      <c r="E88" s="224">
        <f>Yakult!G39</f>
        <v>3.02</v>
      </c>
      <c r="F88">
        <v>2022</v>
      </c>
    </row>
    <row r="89" spans="1:12" ht="15" thickBot="1" x14ac:dyDescent="0.4">
      <c r="A89" s="133" t="s">
        <v>251</v>
      </c>
      <c r="B89" s="224">
        <f>Bright!D39</f>
        <v>0.6</v>
      </c>
      <c r="C89" s="224">
        <f>Bright!E39</f>
        <v>0.68</v>
      </c>
      <c r="D89" s="224">
        <f>Bright!F39</f>
        <v>0.7</v>
      </c>
      <c r="E89" s="224">
        <f>Bright!G39</f>
        <v>0.53</v>
      </c>
      <c r="F89" s="240">
        <v>59956247</v>
      </c>
    </row>
    <row r="90" spans="1:12" ht="15" thickBot="1" x14ac:dyDescent="0.4">
      <c r="A90" s="133" t="s">
        <v>252</v>
      </c>
      <c r="B90" s="224">
        <f>Feihe!D41</f>
        <v>2.23</v>
      </c>
      <c r="C90" s="224">
        <f>Feihe!E41</f>
        <v>2.4300000000000002</v>
      </c>
      <c r="D90" s="224">
        <f>Feihe!F41</f>
        <v>2.63</v>
      </c>
      <c r="E90" s="224">
        <f>Feihe!G41</f>
        <v>2.71</v>
      </c>
      <c r="F90" s="237">
        <v>36059016</v>
      </c>
      <c r="G90" s="259"/>
      <c r="H90" s="259"/>
      <c r="I90" s="245">
        <v>2019</v>
      </c>
      <c r="J90" s="245">
        <v>2020</v>
      </c>
      <c r="K90" s="245">
        <v>2021</v>
      </c>
      <c r="L90" s="245">
        <v>2022</v>
      </c>
    </row>
    <row r="91" spans="1:12" ht="15" thickBot="1" x14ac:dyDescent="0.4">
      <c r="A91" s="133" t="s">
        <v>253</v>
      </c>
      <c r="B91" s="224">
        <v>1.4</v>
      </c>
      <c r="C91" s="224">
        <v>1.4</v>
      </c>
      <c r="D91" s="224">
        <v>1.4</v>
      </c>
      <c r="E91" s="224">
        <v>1.3</v>
      </c>
      <c r="F91" s="237">
        <v>36059016</v>
      </c>
      <c r="G91" s="257" t="s">
        <v>288</v>
      </c>
      <c r="H91" s="257" t="s">
        <v>288</v>
      </c>
      <c r="I91" s="256">
        <v>14265574</v>
      </c>
      <c r="J91" s="256">
        <v>14633503</v>
      </c>
      <c r="K91" s="256">
        <v>14128100</v>
      </c>
      <c r="L91" s="256">
        <v>13762792</v>
      </c>
    </row>
    <row r="92" spans="1:12" ht="15" thickBot="1" x14ac:dyDescent="0.4">
      <c r="A92" s="133"/>
      <c r="B92" s="264"/>
      <c r="C92" s="264"/>
      <c r="D92" s="264"/>
      <c r="E92" s="264"/>
      <c r="F92" s="240">
        <v>23897232</v>
      </c>
      <c r="G92" s="257" t="s">
        <v>289</v>
      </c>
      <c r="H92" s="257" t="s">
        <v>289</v>
      </c>
      <c r="I92" s="256">
        <v>1256211</v>
      </c>
      <c r="J92" s="256">
        <v>1205454</v>
      </c>
      <c r="K92" s="256">
        <v>1234042</v>
      </c>
      <c r="L92" s="256">
        <f>F96+(556391771664/1000000)</f>
        <v>1298851.7716640001</v>
      </c>
    </row>
    <row r="93" spans="1:12" ht="15" thickBot="1" x14ac:dyDescent="0.4">
      <c r="A93" s="133"/>
      <c r="B93" s="264"/>
      <c r="C93" s="264"/>
      <c r="D93" s="264"/>
      <c r="E93" s="264"/>
      <c r="F93" s="241"/>
      <c r="G93" s="257" t="s">
        <v>290</v>
      </c>
      <c r="H93" s="257" t="s">
        <v>290</v>
      </c>
      <c r="I93" s="237">
        <v>10896301</v>
      </c>
      <c r="J93" s="237">
        <v>11208632</v>
      </c>
      <c r="K93" s="237">
        <v>10462408</v>
      </c>
      <c r="L93" s="237">
        <v>9915583</v>
      </c>
    </row>
    <row r="94" spans="1:12" ht="15" thickBot="1" x14ac:dyDescent="0.4">
      <c r="B94">
        <v>2019</v>
      </c>
      <c r="C94">
        <v>2020</v>
      </c>
      <c r="D94">
        <v>2021</v>
      </c>
      <c r="E94">
        <v>2022</v>
      </c>
      <c r="F94" s="237">
        <v>13762792</v>
      </c>
      <c r="G94" s="258" t="s">
        <v>291</v>
      </c>
      <c r="H94" s="258" t="s">
        <v>291</v>
      </c>
      <c r="I94" s="237">
        <v>108825</v>
      </c>
      <c r="J94" s="237">
        <v>143818</v>
      </c>
      <c r="K94" s="237">
        <v>88799</v>
      </c>
      <c r="L94" s="237">
        <v>166039</v>
      </c>
    </row>
    <row r="95" spans="1:12" ht="15" thickBot="1" x14ac:dyDescent="0.4">
      <c r="A95" t="s">
        <v>38</v>
      </c>
      <c r="B95">
        <v>29745906</v>
      </c>
      <c r="C95">
        <v>31967663</v>
      </c>
      <c r="D95">
        <v>34640863</v>
      </c>
      <c r="E95">
        <v>36059016</v>
      </c>
      <c r="F95" s="237">
        <v>3104749</v>
      </c>
      <c r="H95" s="259"/>
      <c r="I95" s="245">
        <v>2019</v>
      </c>
      <c r="J95" s="245">
        <v>2020</v>
      </c>
      <c r="K95" s="245">
        <v>2021</v>
      </c>
      <c r="L95" s="245">
        <v>2022</v>
      </c>
    </row>
    <row r="96" spans="1:12" ht="15" thickBot="1" x14ac:dyDescent="0.4">
      <c r="A96" s="174" t="s">
        <v>292</v>
      </c>
      <c r="B96" s="148">
        <v>1377200</v>
      </c>
      <c r="C96" s="148">
        <v>1249009</v>
      </c>
      <c r="D96" s="148">
        <v>1196234</v>
      </c>
      <c r="E96" s="148">
        <v>1087965</v>
      </c>
      <c r="F96" s="237">
        <v>742460</v>
      </c>
      <c r="H96" s="257" t="s">
        <v>288</v>
      </c>
      <c r="I96" s="256">
        <f>I91/1000</f>
        <v>14265.574000000001</v>
      </c>
      <c r="J96" s="256">
        <f t="shared" ref="J96:L96" si="6">J91/1000</f>
        <v>14633.503000000001</v>
      </c>
      <c r="K96" s="256">
        <f t="shared" si="6"/>
        <v>14128.1</v>
      </c>
      <c r="L96" s="256">
        <f t="shared" si="6"/>
        <v>13762.791999999999</v>
      </c>
    </row>
    <row r="97" spans="1:12" ht="15" thickBot="1" x14ac:dyDescent="0.4">
      <c r="A97" s="174" t="s">
        <v>293</v>
      </c>
      <c r="B97" s="148">
        <v>170681</v>
      </c>
      <c r="C97" s="148">
        <v>217924</v>
      </c>
      <c r="D97" s="148">
        <v>257787</v>
      </c>
      <c r="E97" s="227">
        <v>199435</v>
      </c>
      <c r="F97" s="237">
        <v>9915583</v>
      </c>
      <c r="H97" s="257" t="s">
        <v>289</v>
      </c>
      <c r="I97" s="256">
        <f t="shared" ref="I97:L97" si="7">I92/1000</f>
        <v>1256.211</v>
      </c>
      <c r="J97" s="256">
        <f t="shared" si="7"/>
        <v>1205.454</v>
      </c>
      <c r="K97" s="256">
        <f t="shared" si="7"/>
        <v>1234.0419999999999</v>
      </c>
      <c r="L97" s="256">
        <f t="shared" si="7"/>
        <v>1298.8517716640001</v>
      </c>
    </row>
    <row r="98" spans="1:12" ht="15" thickBot="1" x14ac:dyDescent="0.4">
      <c r="A98" s="174" t="s">
        <v>294</v>
      </c>
      <c r="B98" s="148">
        <v>2661481</v>
      </c>
      <c r="C98" s="148">
        <v>2923632</v>
      </c>
      <c r="D98" s="148">
        <v>4226624</v>
      </c>
      <c r="E98" s="227">
        <v>3365993</v>
      </c>
      <c r="F98" s="239" t="s">
        <v>89</v>
      </c>
      <c r="H98" s="257" t="s">
        <v>290</v>
      </c>
      <c r="I98" s="256">
        <f t="shared" ref="I98:L98" si="8">I93/1000</f>
        <v>10896.300999999999</v>
      </c>
      <c r="J98" s="256">
        <f t="shared" si="8"/>
        <v>11208.632</v>
      </c>
      <c r="K98" s="256">
        <f t="shared" si="8"/>
        <v>10462.407999999999</v>
      </c>
      <c r="L98" s="256">
        <f t="shared" si="8"/>
        <v>9915.5830000000005</v>
      </c>
    </row>
    <row r="99" spans="1:12" ht="15" thickBot="1" x14ac:dyDescent="0.4">
      <c r="A99" s="174" t="s">
        <v>295</v>
      </c>
      <c r="B99" s="148">
        <v>773682</v>
      </c>
      <c r="C99" s="148">
        <v>514504</v>
      </c>
      <c r="D99" s="148">
        <v>1092427</v>
      </c>
      <c r="E99" s="148">
        <v>884170</v>
      </c>
      <c r="F99" s="237">
        <v>381265</v>
      </c>
      <c r="H99" s="258" t="s">
        <v>291</v>
      </c>
      <c r="I99" s="256">
        <f t="shared" ref="I99:L99" si="9">I94/1000</f>
        <v>108.825</v>
      </c>
      <c r="J99" s="256">
        <f t="shared" si="9"/>
        <v>143.81800000000001</v>
      </c>
      <c r="K99" s="256">
        <f t="shared" si="9"/>
        <v>88.799000000000007</v>
      </c>
      <c r="L99" s="256">
        <f t="shared" si="9"/>
        <v>166.03899999999999</v>
      </c>
    </row>
    <row r="100" spans="1:12" ht="15" thickBot="1" x14ac:dyDescent="0.4">
      <c r="A100" s="172" t="s">
        <v>81</v>
      </c>
      <c r="B100" s="146">
        <v>4983044</v>
      </c>
      <c r="C100" s="165">
        <v>4905069</v>
      </c>
      <c r="D100" s="165">
        <v>6773072</v>
      </c>
      <c r="E100" s="165">
        <v>5537563</v>
      </c>
      <c r="F100" s="237">
        <v>135725</v>
      </c>
    </row>
    <row r="101" spans="1:12" ht="15" thickBot="1" x14ac:dyDescent="0.4">
      <c r="F101" s="237">
        <v>245540</v>
      </c>
    </row>
    <row r="102" spans="1:12" ht="15" thickBot="1" x14ac:dyDescent="0.4">
      <c r="B102">
        <v>2019</v>
      </c>
      <c r="C102">
        <v>2020</v>
      </c>
      <c r="D102">
        <v>2021</v>
      </c>
      <c r="E102">
        <v>2022</v>
      </c>
      <c r="F102" s="237">
        <v>166039</v>
      </c>
    </row>
    <row r="103" spans="1:12" ht="15" thickBot="1" x14ac:dyDescent="0.4">
      <c r="A103" s="172" t="s">
        <v>81</v>
      </c>
      <c r="B103" s="146">
        <v>4983044</v>
      </c>
      <c r="C103" s="165">
        <v>4905069</v>
      </c>
      <c r="D103" s="165">
        <v>6773072</v>
      </c>
      <c r="E103" s="165">
        <v>5537563</v>
      </c>
      <c r="F103" s="237">
        <v>166039</v>
      </c>
    </row>
    <row r="104" spans="1:12" ht="15" thickBot="1" x14ac:dyDescent="0.4">
      <c r="A104" s="174" t="s">
        <v>292</v>
      </c>
      <c r="B104" s="148">
        <v>1377200</v>
      </c>
      <c r="C104" s="148">
        <v>1249009</v>
      </c>
      <c r="D104" s="148">
        <v>1196234</v>
      </c>
      <c r="E104" s="148">
        <v>1087965</v>
      </c>
      <c r="F104" s="237">
        <v>-1019342</v>
      </c>
    </row>
    <row r="105" spans="1:12" ht="15" thickBot="1" x14ac:dyDescent="0.4">
      <c r="A105" s="174" t="s">
        <v>293</v>
      </c>
      <c r="B105" s="148">
        <v>170681</v>
      </c>
      <c r="C105" s="148">
        <v>217924</v>
      </c>
      <c r="D105" s="148">
        <v>257787</v>
      </c>
      <c r="E105" s="227">
        <v>199435</v>
      </c>
      <c r="F105" s="237">
        <v>-1198975</v>
      </c>
    </row>
    <row r="106" spans="1:12" ht="15" thickBot="1" x14ac:dyDescent="0.4">
      <c r="A106" s="174" t="s">
        <v>294</v>
      </c>
      <c r="B106" s="148">
        <v>2661481</v>
      </c>
      <c r="C106" s="148">
        <v>2923632</v>
      </c>
      <c r="D106" s="148">
        <v>4226624</v>
      </c>
      <c r="E106" s="227">
        <v>3365993</v>
      </c>
      <c r="F106" s="237">
        <v>179633</v>
      </c>
      <c r="H106">
        <v>2019</v>
      </c>
      <c r="I106">
        <v>2020</v>
      </c>
      <c r="J106">
        <v>2021</v>
      </c>
      <c r="K106">
        <v>2022</v>
      </c>
    </row>
    <row r="107" spans="1:12" ht="15" thickBot="1" x14ac:dyDescent="0.4">
      <c r="A107" s="174" t="s">
        <v>295</v>
      </c>
      <c r="B107" s="148">
        <v>773682</v>
      </c>
      <c r="C107" s="148">
        <v>514504</v>
      </c>
      <c r="D107" s="148">
        <v>1092427</v>
      </c>
      <c r="E107" s="148">
        <v>884170</v>
      </c>
      <c r="F107" s="239" t="s">
        <v>89</v>
      </c>
      <c r="G107" t="s">
        <v>296</v>
      </c>
      <c r="H107" s="143">
        <v>1.37</v>
      </c>
      <c r="I107" s="143">
        <v>1.28</v>
      </c>
      <c r="J107" s="143">
        <v>1.2</v>
      </c>
      <c r="K107" s="143">
        <v>1.18</v>
      </c>
    </row>
    <row r="108" spans="1:12" x14ac:dyDescent="0.35">
      <c r="F108" s="240">
        <v>-853303</v>
      </c>
      <c r="G108" t="s">
        <v>297</v>
      </c>
      <c r="H108" s="143">
        <v>2.8189635979183021</v>
      </c>
      <c r="I108" s="143">
        <v>3.1777622716340677</v>
      </c>
      <c r="J108" s="143">
        <v>3.5371864303957872</v>
      </c>
      <c r="K108" s="143">
        <v>3.5430355669524949</v>
      </c>
    </row>
    <row r="109" spans="1:12" x14ac:dyDescent="0.35">
      <c r="A109" s="69">
        <v>29632809</v>
      </c>
      <c r="B109" s="69">
        <v>423820</v>
      </c>
      <c r="G109" t="s">
        <v>253</v>
      </c>
      <c r="H109" s="143">
        <v>1</v>
      </c>
      <c r="I109" s="143">
        <v>1</v>
      </c>
      <c r="J109" s="143">
        <v>1</v>
      </c>
      <c r="K109" s="143">
        <v>1</v>
      </c>
    </row>
    <row r="110" spans="1:12" x14ac:dyDescent="0.35">
      <c r="A110" s="267">
        <v>2111243</v>
      </c>
      <c r="B110" s="69">
        <v>5335735</v>
      </c>
      <c r="C110" s="69">
        <v>423820</v>
      </c>
      <c r="D110" s="69">
        <v>14209236</v>
      </c>
    </row>
    <row r="111" spans="1:12" x14ac:dyDescent="0.35">
      <c r="A111" s="267">
        <v>17313680</v>
      </c>
      <c r="B111">
        <f>SUM(A110:A111)/D110</f>
        <v>1.3670631552604235</v>
      </c>
      <c r="C111">
        <f>1.73*(D110)-SUM(A110:A111)</f>
        <v>5157055.2800000012</v>
      </c>
    </row>
    <row r="113" spans="1:8" ht="15" thickBot="1" x14ac:dyDescent="0.4">
      <c r="C113">
        <v>2019</v>
      </c>
      <c r="D113">
        <v>2020</v>
      </c>
      <c r="E113">
        <v>2021</v>
      </c>
    </row>
    <row r="114" spans="1:8" ht="15" thickBot="1" x14ac:dyDescent="0.4">
      <c r="A114" s="486" t="s">
        <v>298</v>
      </c>
      <c r="B114" s="487"/>
      <c r="C114" s="240">
        <v>56318123</v>
      </c>
      <c r="D114" s="240">
        <v>59636286</v>
      </c>
      <c r="E114" s="240">
        <v>60919165</v>
      </c>
    </row>
    <row r="115" spans="1:8" ht="15" thickBot="1" x14ac:dyDescent="0.4">
      <c r="A115" s="488" t="s">
        <v>92</v>
      </c>
      <c r="B115" s="489"/>
      <c r="C115" s="237">
        <f>29745906</f>
        <v>29745906</v>
      </c>
      <c r="D115" s="237">
        <v>31967663</v>
      </c>
      <c r="E115" s="237">
        <v>34640863</v>
      </c>
    </row>
    <row r="116" spans="1:8" ht="15" thickBot="1" x14ac:dyDescent="0.4">
      <c r="A116" s="482" t="s">
        <v>288</v>
      </c>
      <c r="B116" s="483"/>
      <c r="C116" s="237">
        <v>29745906</v>
      </c>
      <c r="D116" s="237">
        <v>31967663</v>
      </c>
      <c r="E116" s="237">
        <v>34640863</v>
      </c>
    </row>
    <row r="117" spans="1:8" ht="15" thickBot="1" x14ac:dyDescent="0.4">
      <c r="A117" s="482" t="s">
        <v>289</v>
      </c>
      <c r="B117" s="483"/>
      <c r="C117" s="240">
        <v>26572217</v>
      </c>
      <c r="D117" s="240">
        <v>27668623</v>
      </c>
      <c r="E117" s="240">
        <v>26278301</v>
      </c>
    </row>
    <row r="118" spans="1:8" ht="15" thickBot="1" x14ac:dyDescent="0.4">
      <c r="A118" s="482" t="s">
        <v>290</v>
      </c>
      <c r="B118" s="483"/>
      <c r="C118" s="241"/>
      <c r="D118" s="241"/>
      <c r="E118" s="241"/>
      <c r="G118" s="69">
        <v>17313679774893</v>
      </c>
      <c r="H118" s="69">
        <v>14212646285475</v>
      </c>
    </row>
    <row r="119" spans="1:8" ht="15" thickBot="1" x14ac:dyDescent="0.4">
      <c r="A119" s="486" t="s">
        <v>291</v>
      </c>
      <c r="B119" s="487"/>
      <c r="C119" s="237">
        <v>14265574</v>
      </c>
      <c r="D119" s="237">
        <v>14633503</v>
      </c>
      <c r="E119" s="237">
        <v>14128100</v>
      </c>
      <c r="G119" s="69">
        <v>2111242815581</v>
      </c>
    </row>
    <row r="120" spans="1:8" ht="15" thickBot="1" x14ac:dyDescent="0.4">
      <c r="A120" s="482" t="s">
        <v>290</v>
      </c>
      <c r="B120" s="483"/>
      <c r="C120" s="237">
        <v>2113062</v>
      </c>
      <c r="D120" s="237">
        <v>2219417</v>
      </c>
      <c r="E120" s="237">
        <v>2431649</v>
      </c>
      <c r="G120" s="69">
        <v>5187253172150</v>
      </c>
    </row>
    <row r="121" spans="1:8" ht="15" thickBot="1" x14ac:dyDescent="0.4">
      <c r="A121" s="484" t="s">
        <v>92</v>
      </c>
      <c r="B121" s="485"/>
      <c r="C121" s="237">
        <v>1256211</v>
      </c>
      <c r="D121" s="237">
        <v>1205454</v>
      </c>
      <c r="E121" s="237">
        <v>1234042</v>
      </c>
      <c r="G121">
        <f>SUM(G118:G120)/H118</f>
        <v>1.7317095823159323</v>
      </c>
    </row>
    <row r="122" spans="1:8" ht="15" thickBot="1" x14ac:dyDescent="0.4">
      <c r="A122" s="469" t="s">
        <v>299</v>
      </c>
      <c r="B122" s="470"/>
      <c r="C122" s="237">
        <v>10896301</v>
      </c>
      <c r="D122" s="237">
        <v>11208632</v>
      </c>
      <c r="E122" s="237">
        <v>10462408</v>
      </c>
    </row>
    <row r="123" spans="1:8" ht="15" thickBot="1" x14ac:dyDescent="0.4">
      <c r="A123" s="490" t="s">
        <v>92</v>
      </c>
      <c r="B123" s="491"/>
      <c r="C123" s="239" t="s">
        <v>89</v>
      </c>
      <c r="D123" s="239" t="s">
        <v>89</v>
      </c>
      <c r="E123" s="239" t="s">
        <v>89</v>
      </c>
    </row>
    <row r="124" spans="1:8" ht="15" thickBot="1" x14ac:dyDescent="0.4">
      <c r="A124" s="486" t="s">
        <v>300</v>
      </c>
      <c r="B124" s="487"/>
      <c r="C124" s="237">
        <v>124183</v>
      </c>
      <c r="D124" s="237">
        <v>772145</v>
      </c>
      <c r="E124" s="237">
        <v>389883</v>
      </c>
    </row>
    <row r="125" spans="1:8" ht="15" thickBot="1" x14ac:dyDescent="0.4">
      <c r="A125" s="488" t="s">
        <v>92</v>
      </c>
      <c r="B125" s="489"/>
      <c r="C125" s="237">
        <v>124183</v>
      </c>
      <c r="D125" s="237">
        <v>163997</v>
      </c>
      <c r="E125" s="237">
        <v>144343</v>
      </c>
    </row>
    <row r="126" spans="1:8" ht="15" thickBot="1" x14ac:dyDescent="0.4">
      <c r="A126" s="482" t="s">
        <v>78</v>
      </c>
      <c r="B126" s="483"/>
      <c r="C126" s="238" t="s">
        <v>89</v>
      </c>
      <c r="D126" s="237">
        <v>608149</v>
      </c>
      <c r="E126" s="237">
        <v>245540</v>
      </c>
    </row>
    <row r="127" spans="1:8" ht="15" thickBot="1" x14ac:dyDescent="0.4">
      <c r="A127" s="484" t="s">
        <v>92</v>
      </c>
      <c r="B127" s="485"/>
      <c r="C127" s="237">
        <v>108825</v>
      </c>
      <c r="D127" s="237">
        <v>143818</v>
      </c>
      <c r="E127" s="237">
        <v>88799</v>
      </c>
    </row>
    <row r="128" spans="1:8" ht="15" thickBot="1" x14ac:dyDescent="0.4">
      <c r="A128" s="482" t="s">
        <v>301</v>
      </c>
      <c r="B128" s="483"/>
      <c r="C128" s="237">
        <v>108825</v>
      </c>
      <c r="D128" s="237">
        <v>143818</v>
      </c>
      <c r="E128" s="237">
        <v>88799</v>
      </c>
    </row>
    <row r="129" spans="1:12" ht="15" thickBot="1" x14ac:dyDescent="0.4">
      <c r="A129" s="484" t="s">
        <v>92</v>
      </c>
      <c r="B129" s="485"/>
      <c r="C129" s="237">
        <v>-703512</v>
      </c>
      <c r="D129" s="237">
        <v>-1189070</v>
      </c>
      <c r="E129" s="237">
        <v>-1072481</v>
      </c>
    </row>
    <row r="130" spans="1:12" ht="15" thickBot="1" x14ac:dyDescent="0.4">
      <c r="A130" s="486" t="s">
        <v>302</v>
      </c>
      <c r="B130" s="487"/>
      <c r="C130" s="237">
        <v>-724202</v>
      </c>
      <c r="D130" s="237">
        <v>-1148536</v>
      </c>
      <c r="E130" s="237">
        <v>-1103473</v>
      </c>
    </row>
    <row r="131" spans="1:12" ht="15" thickBot="1" x14ac:dyDescent="0.4">
      <c r="A131" s="488" t="s">
        <v>92</v>
      </c>
      <c r="B131" s="489"/>
      <c r="C131" s="237">
        <v>20690</v>
      </c>
      <c r="D131" s="237">
        <v>-40535</v>
      </c>
      <c r="E131" s="237">
        <v>30992</v>
      </c>
    </row>
    <row r="132" spans="1:12" ht="15" thickBot="1" x14ac:dyDescent="0.4">
      <c r="A132" s="482" t="s">
        <v>303</v>
      </c>
      <c r="B132" s="483"/>
      <c r="C132" s="239" t="s">
        <v>89</v>
      </c>
      <c r="D132" s="239" t="s">
        <v>89</v>
      </c>
      <c r="E132" s="239" t="s">
        <v>89</v>
      </c>
    </row>
    <row r="133" spans="1:12" ht="15" thickBot="1" x14ac:dyDescent="0.4">
      <c r="A133" s="484" t="s">
        <v>92</v>
      </c>
      <c r="B133" s="485"/>
      <c r="C133" s="240">
        <v>-594687</v>
      </c>
      <c r="D133" s="240">
        <v>-1045252</v>
      </c>
      <c r="E133" s="240">
        <v>-983681</v>
      </c>
    </row>
    <row r="135" spans="1:12" x14ac:dyDescent="0.35">
      <c r="B135">
        <f>B75</f>
        <v>2019</v>
      </c>
      <c r="C135">
        <f t="shared" ref="C135:E135" si="10">C75</f>
        <v>2020</v>
      </c>
      <c r="D135">
        <f t="shared" si="10"/>
        <v>2021</v>
      </c>
      <c r="E135">
        <f t="shared" si="10"/>
        <v>2022</v>
      </c>
    </row>
    <row r="136" spans="1:12" ht="15" thickBot="1" x14ac:dyDescent="0.4">
      <c r="A136" t="s">
        <v>286</v>
      </c>
      <c r="B136">
        <f>B76</f>
        <v>1.71</v>
      </c>
      <c r="C136">
        <f t="shared" ref="C136:E136" si="11">C76</f>
        <v>2.09</v>
      </c>
      <c r="D136">
        <f t="shared" si="11"/>
        <v>2.12</v>
      </c>
      <c r="E136">
        <f t="shared" si="11"/>
        <v>2.06</v>
      </c>
    </row>
    <row r="137" spans="1:12" x14ac:dyDescent="0.35">
      <c r="A137" t="s">
        <v>304</v>
      </c>
      <c r="B137" s="262">
        <v>5330653</v>
      </c>
      <c r="C137" s="262">
        <v>7295788</v>
      </c>
      <c r="D137" s="262">
        <v>9361726</v>
      </c>
      <c r="E137" s="262">
        <v>4848264</v>
      </c>
    </row>
    <row r="141" spans="1:12" ht="15" thickBot="1" x14ac:dyDescent="0.4">
      <c r="A141" s="135" t="s">
        <v>168</v>
      </c>
      <c r="B141" s="135">
        <v>2019</v>
      </c>
      <c r="C141" s="135">
        <v>2020</v>
      </c>
      <c r="D141" s="135">
        <v>2021</v>
      </c>
      <c r="E141" s="135">
        <v>2022</v>
      </c>
      <c r="H141">
        <v>2019</v>
      </c>
      <c r="I141">
        <v>2020</v>
      </c>
      <c r="J141">
        <v>2021</v>
      </c>
      <c r="K141">
        <v>2022</v>
      </c>
    </row>
    <row r="142" spans="1:12" ht="15" thickBot="1" x14ac:dyDescent="0.4">
      <c r="A142" s="133" t="s">
        <v>270</v>
      </c>
      <c r="B142" s="224">
        <f>Vinamilk!D18</f>
        <v>0.187</v>
      </c>
      <c r="C142" s="224">
        <f>Vinamilk!E18</f>
        <v>0.188</v>
      </c>
      <c r="D142" s="224">
        <f>Vinamilk!F18</f>
        <v>0.17499999999999999</v>
      </c>
      <c r="E142" s="224">
        <f>Vinamilk!G18</f>
        <v>0.14299999999999999</v>
      </c>
      <c r="H142" t="s">
        <v>168</v>
      </c>
      <c r="I142">
        <v>0.187</v>
      </c>
      <c r="J142">
        <v>0.188</v>
      </c>
      <c r="K142">
        <v>0.17499999999999999</v>
      </c>
      <c r="L142">
        <v>0.14299999999999999</v>
      </c>
    </row>
    <row r="143" spans="1:12" ht="15" thickBot="1" x14ac:dyDescent="0.4">
      <c r="A143" s="133" t="s">
        <v>247</v>
      </c>
      <c r="B143" s="224">
        <f>Morigana!D17</f>
        <v>2.4E-2</v>
      </c>
      <c r="C143" s="224">
        <f>Morigana!E17</f>
        <v>3.2000000000000001E-2</v>
      </c>
      <c r="D143" s="224">
        <f>Morigana!F17</f>
        <v>3.2000000000000001E-2</v>
      </c>
      <c r="E143" s="224">
        <f>Morigana!G17</f>
        <v>6.7000000000000004E-2</v>
      </c>
      <c r="H143" t="s">
        <v>55</v>
      </c>
      <c r="I143">
        <v>186969.681828</v>
      </c>
      <c r="J143">
        <v>308569.32883499999</v>
      </c>
      <c r="K143">
        <v>202338.23223200001</v>
      </c>
      <c r="L143">
        <v>617537.18299500004</v>
      </c>
    </row>
    <row r="144" spans="1:12" ht="15" thickBot="1" x14ac:dyDescent="0.4">
      <c r="A144" s="133" t="s">
        <v>249</v>
      </c>
      <c r="B144" s="224">
        <f>Hatsun!D19</f>
        <v>2.4E-2</v>
      </c>
      <c r="C144" s="224">
        <f>Hatsun!E19</f>
        <v>2.1000000000000001E-2</v>
      </c>
      <c r="D144" s="224">
        <f>Hatsun!F19</f>
        <v>4.9000000000000002E-2</v>
      </c>
      <c r="E144" s="224">
        <f>Hatsun!G19</f>
        <v>3.9E-2</v>
      </c>
    </row>
    <row r="145" spans="1:20" ht="15" thickBot="1" x14ac:dyDescent="0.4">
      <c r="A145" s="133" t="s">
        <v>250</v>
      </c>
      <c r="B145" s="224">
        <f>Yakult!D17</f>
        <v>9.9000000000000005E-2</v>
      </c>
      <c r="C145" s="224">
        <f>Yakult!E17</f>
        <v>0.11</v>
      </c>
      <c r="D145" s="224">
        <f>Yakult!F17</f>
        <v>0.113</v>
      </c>
      <c r="E145" s="224">
        <f>Yakult!G17</f>
        <v>0.11899999999999999</v>
      </c>
    </row>
    <row r="146" spans="1:20" ht="15" thickBot="1" x14ac:dyDescent="0.4">
      <c r="A146" s="133" t="s">
        <v>251</v>
      </c>
      <c r="B146" s="224">
        <f>Bright!D17</f>
        <v>0.03</v>
      </c>
      <c r="C146" s="224">
        <f>Bright!E17</f>
        <v>3.1E-2</v>
      </c>
      <c r="D146" s="224">
        <f>Bright!F17</f>
        <v>1.9E-2</v>
      </c>
      <c r="E146" s="224">
        <f>Bright!G17</f>
        <v>1.4E-2</v>
      </c>
    </row>
    <row r="147" spans="1:20" ht="15" thickBot="1" x14ac:dyDescent="0.4">
      <c r="A147" s="133" t="s">
        <v>252</v>
      </c>
      <c r="B147" s="224">
        <f>Feihe!D19</f>
        <v>0.28699999999999998</v>
      </c>
      <c r="C147" s="224">
        <f>Feihe!E19</f>
        <v>0.4</v>
      </c>
      <c r="D147" s="224">
        <f>Feihe!F19</f>
        <v>0.30399999999999999</v>
      </c>
      <c r="E147" s="224">
        <f>Feihe!G19</f>
        <v>0.23200000000000001</v>
      </c>
    </row>
    <row r="148" spans="1:20" ht="15" thickBot="1" x14ac:dyDescent="0.4">
      <c r="A148" s="133" t="s">
        <v>253</v>
      </c>
      <c r="B148" s="224">
        <f>B149/100</f>
        <v>7.2000000000000008E-2</v>
      </c>
      <c r="C148" s="224">
        <f t="shared" ref="C148:E148" si="12">C149/100</f>
        <v>7.9000000000000001E-2</v>
      </c>
      <c r="D148" s="224">
        <f t="shared" si="12"/>
        <v>7.8E-2</v>
      </c>
      <c r="E148" s="224">
        <f t="shared" si="12"/>
        <v>6.5000000000000002E-2</v>
      </c>
    </row>
    <row r="149" spans="1:20" ht="15" thickBot="1" x14ac:dyDescent="0.4">
      <c r="B149" s="224">
        <v>7.2</v>
      </c>
      <c r="C149" s="224">
        <v>7.9</v>
      </c>
      <c r="D149" s="224">
        <v>7.8</v>
      </c>
      <c r="E149" s="224">
        <v>6.5</v>
      </c>
      <c r="F149" s="135"/>
      <c r="G149" s="135"/>
      <c r="J149" t="s">
        <v>305</v>
      </c>
      <c r="K149">
        <v>2019</v>
      </c>
      <c r="L149">
        <v>2020</v>
      </c>
      <c r="M149">
        <v>2021</v>
      </c>
      <c r="N149">
        <v>2022</v>
      </c>
    </row>
    <row r="150" spans="1:20" ht="15" thickBot="1" x14ac:dyDescent="0.4">
      <c r="F150" s="224"/>
      <c r="G150" s="264"/>
      <c r="J150" t="s">
        <v>270</v>
      </c>
      <c r="K150">
        <v>1.63</v>
      </c>
      <c r="L150">
        <v>1.55</v>
      </c>
      <c r="M150">
        <v>1.61</v>
      </c>
      <c r="N150">
        <v>1.62</v>
      </c>
      <c r="Q150" t="e">
        <f t="shared" ref="Q150:S155" si="13">(K150-J150)/J150</f>
        <v>#VALUE!</v>
      </c>
      <c r="R150">
        <f t="shared" si="13"/>
        <v>-4.9079754601226905E-2</v>
      </c>
      <c r="S150">
        <f t="shared" si="13"/>
        <v>3.8709677419354875E-2</v>
      </c>
      <c r="T150">
        <f>(N150-M150)/M150</f>
        <v>6.2111801242236073E-3</v>
      </c>
    </row>
    <row r="151" spans="1:20" ht="15" thickBot="1" x14ac:dyDescent="0.4">
      <c r="A151" s="135" t="s">
        <v>305</v>
      </c>
      <c r="B151" s="135"/>
      <c r="C151" s="135">
        <v>2019</v>
      </c>
      <c r="D151" s="135">
        <v>2020</v>
      </c>
      <c r="E151" s="135">
        <v>2021</v>
      </c>
      <c r="F151" s="224"/>
      <c r="G151" s="264"/>
      <c r="J151" t="s">
        <v>247</v>
      </c>
      <c r="K151">
        <v>2.58</v>
      </c>
      <c r="L151">
        <v>2.4</v>
      </c>
      <c r="M151">
        <v>2.27</v>
      </c>
      <c r="N151">
        <v>2.23</v>
      </c>
      <c r="Q151" t="e">
        <f t="shared" si="13"/>
        <v>#VALUE!</v>
      </c>
      <c r="R151">
        <f t="shared" si="13"/>
        <v>-6.9767441860465171E-2</v>
      </c>
      <c r="S151">
        <f t="shared" si="13"/>
        <v>-5.4166666666666627E-2</v>
      </c>
      <c r="T151">
        <f t="shared" ref="T151:T155" si="14">(N151-M151)/M151</f>
        <v>-1.7621145374449355E-2</v>
      </c>
    </row>
    <row r="152" spans="1:20" ht="15" thickBot="1" x14ac:dyDescent="0.4">
      <c r="A152" s="133" t="s">
        <v>270</v>
      </c>
      <c r="B152" s="224">
        <f>Vinamilk!C27</f>
        <v>1.45</v>
      </c>
      <c r="C152" s="224">
        <f>Vinamilk!D27</f>
        <v>1.63</v>
      </c>
      <c r="D152" s="224">
        <f>Vinamilk!E27</f>
        <v>1.55</v>
      </c>
      <c r="E152" s="224">
        <f>Vinamilk!F27</f>
        <v>1.61</v>
      </c>
      <c r="F152" s="224"/>
      <c r="G152" s="264"/>
      <c r="J152" t="s">
        <v>249</v>
      </c>
      <c r="K152">
        <v>2.79</v>
      </c>
      <c r="L152">
        <v>3</v>
      </c>
      <c r="M152">
        <v>3.05</v>
      </c>
      <c r="N152">
        <v>3.19</v>
      </c>
      <c r="Q152" t="e">
        <f t="shared" si="13"/>
        <v>#VALUE!</v>
      </c>
      <c r="R152">
        <f t="shared" si="13"/>
        <v>7.5268817204301064E-2</v>
      </c>
      <c r="S152">
        <f t="shared" si="13"/>
        <v>1.6666666666666607E-2</v>
      </c>
      <c r="T152">
        <f t="shared" si="14"/>
        <v>4.5901639344262342E-2</v>
      </c>
    </row>
    <row r="153" spans="1:20" ht="15" thickBot="1" x14ac:dyDescent="0.4">
      <c r="A153" s="133" t="s">
        <v>247</v>
      </c>
      <c r="B153" s="224">
        <f>Morigana!C26</f>
        <v>2.63</v>
      </c>
      <c r="C153" s="224">
        <f>Morigana!D26</f>
        <v>2.58</v>
      </c>
      <c r="D153" s="224">
        <f>Morigana!E26</f>
        <v>2.4</v>
      </c>
      <c r="E153" s="224">
        <f>Morigana!F26</f>
        <v>2.27</v>
      </c>
      <c r="F153" s="224"/>
      <c r="G153" s="264"/>
      <c r="J153" t="s">
        <v>250</v>
      </c>
      <c r="K153">
        <v>1.73</v>
      </c>
      <c r="L153">
        <v>1.68</v>
      </c>
      <c r="M153">
        <v>1.57</v>
      </c>
      <c r="N153">
        <v>1.51</v>
      </c>
      <c r="Q153" t="e">
        <f t="shared" si="13"/>
        <v>#VALUE!</v>
      </c>
      <c r="R153">
        <f t="shared" si="13"/>
        <v>-2.890173410404627E-2</v>
      </c>
      <c r="S153">
        <f t="shared" si="13"/>
        <v>-6.547619047619041E-2</v>
      </c>
      <c r="T153">
        <f t="shared" si="14"/>
        <v>-3.8216560509554173E-2</v>
      </c>
    </row>
    <row r="154" spans="1:20" ht="15" thickBot="1" x14ac:dyDescent="0.4">
      <c r="A154" s="133" t="s">
        <v>249</v>
      </c>
      <c r="B154" s="224">
        <f>Hatsun!C28</f>
        <v>5.56</v>
      </c>
      <c r="C154" s="224">
        <f>Hatsun!D28</f>
        <v>2.79</v>
      </c>
      <c r="D154" s="224">
        <f>Hatsun!E28</f>
        <v>3</v>
      </c>
      <c r="E154" s="224">
        <f>Hatsun!F28</f>
        <v>3.05</v>
      </c>
      <c r="F154" s="224"/>
      <c r="G154" s="264"/>
      <c r="J154" t="s">
        <v>251</v>
      </c>
      <c r="K154">
        <v>3.08</v>
      </c>
      <c r="L154">
        <v>3.2</v>
      </c>
      <c r="M154">
        <v>2.98</v>
      </c>
      <c r="N154">
        <v>3.06</v>
      </c>
      <c r="Q154" t="e">
        <f t="shared" si="13"/>
        <v>#VALUE!</v>
      </c>
      <c r="R154">
        <f t="shared" si="13"/>
        <v>3.8961038961038995E-2</v>
      </c>
      <c r="S154">
        <f t="shared" si="13"/>
        <v>-6.8750000000000061E-2</v>
      </c>
      <c r="T154">
        <f t="shared" si="14"/>
        <v>2.6845637583892641E-2</v>
      </c>
    </row>
    <row r="155" spans="1:20" ht="15" thickBot="1" x14ac:dyDescent="0.4">
      <c r="A155" s="133" t="s">
        <v>250</v>
      </c>
      <c r="B155" s="224">
        <f>Yakult!C26</f>
        <v>1.78</v>
      </c>
      <c r="C155" s="224">
        <f>Yakult!D26</f>
        <v>1.73</v>
      </c>
      <c r="D155" s="224">
        <f>Yakult!E26</f>
        <v>1.68</v>
      </c>
      <c r="E155" s="224">
        <f>Yakult!F26</f>
        <v>1.57</v>
      </c>
      <c r="F155" s="224"/>
      <c r="G155" s="264"/>
      <c r="J155" t="s">
        <v>252</v>
      </c>
      <c r="K155">
        <v>1.77</v>
      </c>
      <c r="L155">
        <v>1.6</v>
      </c>
      <c r="M155">
        <v>1.5</v>
      </c>
      <c r="N155">
        <v>1.48</v>
      </c>
      <c r="Q155" t="e">
        <f t="shared" si="13"/>
        <v>#VALUE!</v>
      </c>
      <c r="R155">
        <f t="shared" si="13"/>
        <v>-9.6045197740112956E-2</v>
      </c>
      <c r="S155">
        <f t="shared" si="13"/>
        <v>-6.2500000000000056E-2</v>
      </c>
      <c r="T155">
        <f t="shared" si="14"/>
        <v>-1.3333333333333345E-2</v>
      </c>
    </row>
    <row r="156" spans="1:20" ht="15" thickBot="1" x14ac:dyDescent="0.4">
      <c r="A156" s="133" t="s">
        <v>251</v>
      </c>
      <c r="B156" s="224">
        <f>Bright!C26</f>
        <v>3.36</v>
      </c>
      <c r="C156" s="224">
        <f>Bright!D26</f>
        <v>3.08</v>
      </c>
      <c r="D156" s="224">
        <f>Bright!E26</f>
        <v>3.2</v>
      </c>
      <c r="E156" s="224">
        <f>Bright!F26</f>
        <v>2.98</v>
      </c>
      <c r="F156" s="224"/>
      <c r="G156" s="264"/>
      <c r="J156" t="s">
        <v>253</v>
      </c>
      <c r="K156" s="143">
        <f t="shared" ref="K156:L156" si="15">L156/(1+R156)</f>
        <v>2.9586499772293058</v>
      </c>
      <c r="L156" s="143">
        <f t="shared" si="15"/>
        <v>2.8947607554262631</v>
      </c>
      <c r="M156" s="143">
        <f>N156/(1+T156)</f>
        <v>2.8004318339204772</v>
      </c>
      <c r="N156" s="143">
        <f>AVERAGE(B152:B157)</f>
        <v>2.8049999999999997</v>
      </c>
      <c r="Q156" t="e">
        <f t="shared" ref="Q156:S156" si="16">AVERAGE(Q150:Q155)</f>
        <v>#VALUE!</v>
      </c>
      <c r="R156">
        <f t="shared" si="16"/>
        <v>-2.1594045356751874E-2</v>
      </c>
      <c r="S156">
        <f t="shared" si="16"/>
        <v>-3.2586085509472611E-2</v>
      </c>
      <c r="T156" s="84">
        <f>AVERAGE(T150:T155)</f>
        <v>1.6312363058402868E-3</v>
      </c>
    </row>
    <row r="157" spans="1:20" ht="15" thickBot="1" x14ac:dyDescent="0.4">
      <c r="A157" s="133" t="s">
        <v>252</v>
      </c>
      <c r="B157" s="224">
        <f>Feihe!C28</f>
        <v>2.0499999999999998</v>
      </c>
      <c r="C157" s="224">
        <f>Feihe!D28</f>
        <v>1.77</v>
      </c>
      <c r="D157" s="224">
        <f>Feihe!E28</f>
        <v>1.6</v>
      </c>
      <c r="E157" s="224">
        <f>Feihe!F28</f>
        <v>1.5</v>
      </c>
    </row>
    <row r="158" spans="1:20" x14ac:dyDescent="0.35">
      <c r="A158" s="133" t="s">
        <v>253</v>
      </c>
      <c r="B158" s="133"/>
      <c r="C158" s="224">
        <v>0.45600000000000002</v>
      </c>
      <c r="D158" s="224">
        <v>0.49099999999999999</v>
      </c>
      <c r="E158" s="224">
        <v>0.49099999999999999</v>
      </c>
    </row>
    <row r="161" spans="1:14" ht="15" thickBot="1" x14ac:dyDescent="0.4">
      <c r="A161" s="135" t="s">
        <v>306</v>
      </c>
      <c r="B161" s="135">
        <v>2019</v>
      </c>
      <c r="C161" s="135">
        <v>2020</v>
      </c>
      <c r="D161" s="135">
        <v>2021</v>
      </c>
      <c r="E161" s="135">
        <v>2022</v>
      </c>
      <c r="F161" s="84" t="s">
        <v>42</v>
      </c>
    </row>
    <row r="162" spans="1:14" ht="15" thickBot="1" x14ac:dyDescent="0.4">
      <c r="A162" s="133" t="s">
        <v>270</v>
      </c>
      <c r="B162" s="224">
        <f>Vinamilk!D33</f>
        <v>0.39700000000000002</v>
      </c>
      <c r="C162" s="224">
        <f>Vinamilk!E33</f>
        <v>0.378</v>
      </c>
      <c r="D162" s="224">
        <f>Vinamilk!F33</f>
        <v>0.32700000000000001</v>
      </c>
      <c r="E162" s="224">
        <f>Vinamilk!G33</f>
        <v>0.27100000000000002</v>
      </c>
      <c r="F162" s="270">
        <f>(E162-B162)/B162</f>
        <v>-0.31738035264483627</v>
      </c>
      <c r="I162" t="s">
        <v>269</v>
      </c>
      <c r="K162">
        <v>2019</v>
      </c>
      <c r="L162">
        <v>2020</v>
      </c>
      <c r="M162">
        <v>2021</v>
      </c>
      <c r="N162">
        <v>2022</v>
      </c>
    </row>
    <row r="163" spans="1:14" ht="15" thickBot="1" x14ac:dyDescent="0.4">
      <c r="A163" s="133" t="s">
        <v>247</v>
      </c>
      <c r="B163" s="224">
        <f>Morigana!D32</f>
        <v>8.5999999999999993E-2</v>
      </c>
      <c r="C163" s="224">
        <f>Morigana!E32</f>
        <v>0.107</v>
      </c>
      <c r="D163" s="224">
        <f>Morigana!F32</f>
        <v>9.8000000000000004E-2</v>
      </c>
      <c r="E163" s="224">
        <f>Morigana!G32</f>
        <v>0.16700000000000001</v>
      </c>
      <c r="F163" s="84">
        <f t="shared" ref="F163:F197" si="17">(E163-B163)/B163</f>
        <v>0.9418604651162793</v>
      </c>
      <c r="I163" t="s">
        <v>270</v>
      </c>
      <c r="J163" t="s">
        <v>276</v>
      </c>
      <c r="K163" s="453">
        <v>0.47199999999999998</v>
      </c>
      <c r="L163" s="453">
        <v>0.46400000000000002</v>
      </c>
      <c r="M163" s="453">
        <v>0.43099999999999999</v>
      </c>
      <c r="N163" s="453">
        <v>0.39900000000000002</v>
      </c>
    </row>
    <row r="164" spans="1:14" ht="15" thickBot="1" x14ac:dyDescent="0.4">
      <c r="A164" s="133" t="s">
        <v>249</v>
      </c>
      <c r="B164" s="224">
        <f>Hatsun!D34</f>
        <v>0.19600000000000001</v>
      </c>
      <c r="C164" s="224">
        <f>Hatsun!E34</f>
        <v>0.13100000000000001</v>
      </c>
      <c r="D164" s="224">
        <f>Hatsun!F34</f>
        <v>0.28399999999999997</v>
      </c>
      <c r="E164" s="224">
        <f>Hatsun!G34</f>
        <v>0.23300000000000001</v>
      </c>
      <c r="F164" s="84">
        <f t="shared" si="17"/>
        <v>0.18877551020408165</v>
      </c>
      <c r="J164" t="s">
        <v>307</v>
      </c>
      <c r="K164" s="52">
        <v>3100</v>
      </c>
      <c r="L164" s="52">
        <v>3000</v>
      </c>
      <c r="M164" s="52">
        <v>3800</v>
      </c>
      <c r="N164" s="52">
        <v>3600</v>
      </c>
    </row>
    <row r="165" spans="1:14" ht="15" thickBot="1" x14ac:dyDescent="0.4">
      <c r="A165" s="133" t="s">
        <v>250</v>
      </c>
      <c r="B165" s="224">
        <f>Yakult!D32</f>
        <v>9.8000000000000004E-2</v>
      </c>
      <c r="C165" s="224">
        <f>Yakult!E32</f>
        <v>0.109</v>
      </c>
      <c r="D165" s="224">
        <f>Yakult!F32</f>
        <v>0.10100000000000001</v>
      </c>
      <c r="E165" s="224">
        <f>Yakult!G32</f>
        <v>0.106</v>
      </c>
      <c r="F165" s="84">
        <f t="shared" si="17"/>
        <v>8.1632653061224414E-2</v>
      </c>
    </row>
    <row r="166" spans="1:14" ht="15" thickBot="1" x14ac:dyDescent="0.4">
      <c r="A166" s="133" t="s">
        <v>251</v>
      </c>
      <c r="B166" s="224">
        <f>Bright!D32</f>
        <v>0.09</v>
      </c>
      <c r="C166" s="224">
        <f>Bright!E32</f>
        <v>0.10100000000000001</v>
      </c>
      <c r="D166" s="224">
        <f>Bright!F32</f>
        <v>8.4000000000000005E-2</v>
      </c>
      <c r="E166" s="224">
        <f>Bright!G32</f>
        <v>4.4999999999999998E-2</v>
      </c>
      <c r="F166" s="84">
        <f t="shared" si="17"/>
        <v>-0.5</v>
      </c>
    </row>
    <row r="167" spans="1:14" ht="15" thickBot="1" x14ac:dyDescent="0.4">
      <c r="A167" s="133" t="s">
        <v>252</v>
      </c>
      <c r="B167" s="224">
        <f>Feihe!D34</f>
        <v>0.41799999999999998</v>
      </c>
      <c r="C167" s="224">
        <f>Feihe!E34</f>
        <v>0.48299999999999998</v>
      </c>
      <c r="D167" s="224">
        <f>Feihe!F34</f>
        <v>0.35499999999999998</v>
      </c>
      <c r="E167" s="224">
        <f>Feihe!G34</f>
        <v>0.22</v>
      </c>
      <c r="F167" s="84">
        <f t="shared" si="17"/>
        <v>-0.47368421052631576</v>
      </c>
    </row>
    <row r="168" spans="1:14" x14ac:dyDescent="0.35">
      <c r="A168" s="133" t="s">
        <v>253</v>
      </c>
      <c r="B168" s="224">
        <f>B170/100</f>
        <v>8.6999999999999994E-2</v>
      </c>
      <c r="C168" s="224">
        <f t="shared" ref="C168:E168" si="18">C170/100</f>
        <v>9.8000000000000004E-2</v>
      </c>
      <c r="D168" s="224">
        <f t="shared" si="18"/>
        <v>8.4000000000000005E-2</v>
      </c>
      <c r="E168" s="224">
        <f t="shared" si="18"/>
        <v>9.5000000000000001E-2</v>
      </c>
      <c r="F168" s="84">
        <f t="shared" si="17"/>
        <v>9.1954022988505829E-2</v>
      </c>
      <c r="K168">
        <v>80</v>
      </c>
      <c r="L168">
        <v>150</v>
      </c>
      <c r="N168">
        <f>L168/K168-1</f>
        <v>0.875</v>
      </c>
    </row>
    <row r="169" spans="1:14" x14ac:dyDescent="0.35">
      <c r="F169" s="84" t="e">
        <f t="shared" si="17"/>
        <v>#DIV/0!</v>
      </c>
      <c r="K169">
        <v>120</v>
      </c>
      <c r="L169">
        <v>155</v>
      </c>
      <c r="N169">
        <f>L169/K169-1</f>
        <v>0.29166666666666674</v>
      </c>
    </row>
    <row r="170" spans="1:14" x14ac:dyDescent="0.35">
      <c r="B170">
        <v>8.6999999999999993</v>
      </c>
      <c r="C170">
        <v>9.8000000000000007</v>
      </c>
      <c r="D170">
        <v>8.4</v>
      </c>
      <c r="E170">
        <v>9.5</v>
      </c>
      <c r="F170" s="84">
        <f t="shared" si="17"/>
        <v>9.1954022988505843E-2</v>
      </c>
      <c r="K170">
        <v>120</v>
      </c>
      <c r="L170">
        <v>176</v>
      </c>
      <c r="N170">
        <f>L170/K170-1</f>
        <v>0.46666666666666656</v>
      </c>
    </row>
    <row r="171" spans="1:14" x14ac:dyDescent="0.35">
      <c r="A171" s="79" t="str">
        <f>A33</f>
        <v>Asset turrnover</v>
      </c>
      <c r="B171" s="79">
        <f t="shared" ref="B171:E171" si="19">B33</f>
        <v>2019</v>
      </c>
      <c r="C171" s="79">
        <f t="shared" si="19"/>
        <v>2020</v>
      </c>
      <c r="D171" s="79">
        <f t="shared" si="19"/>
        <v>2021</v>
      </c>
      <c r="E171" s="79">
        <f t="shared" si="19"/>
        <v>2022</v>
      </c>
      <c r="F171" s="84">
        <f t="shared" si="17"/>
        <v>1.4858841010401188E-3</v>
      </c>
    </row>
    <row r="172" spans="1:14" x14ac:dyDescent="0.35">
      <c r="A172" t="str">
        <f t="shared" ref="A172:E172" si="20">A34</f>
        <v>Vietnam Dairy Products JSC</v>
      </c>
      <c r="B172">
        <f t="shared" si="20"/>
        <v>1.37</v>
      </c>
      <c r="C172">
        <f t="shared" si="20"/>
        <v>1.28</v>
      </c>
      <c r="D172">
        <f t="shared" si="20"/>
        <v>1.2</v>
      </c>
      <c r="E172">
        <f t="shared" si="20"/>
        <v>1.18</v>
      </c>
      <c r="F172" s="270">
        <f t="shared" si="17"/>
        <v>-0.13868613138686142</v>
      </c>
    </row>
    <row r="173" spans="1:14" x14ac:dyDescent="0.35">
      <c r="A173" t="str">
        <f t="shared" ref="A173:E173" si="21">A35</f>
        <v>Morinaga Milk Industry Co Ltd</v>
      </c>
      <c r="B173">
        <f t="shared" si="21"/>
        <v>1.38</v>
      </c>
      <c r="C173">
        <f t="shared" si="21"/>
        <v>1.36</v>
      </c>
      <c r="D173">
        <f t="shared" si="21"/>
        <v>1.31</v>
      </c>
      <c r="E173">
        <f t="shared" si="21"/>
        <v>1.1000000000000001</v>
      </c>
      <c r="F173" s="84">
        <f t="shared" si="17"/>
        <v>-0.20289855072463756</v>
      </c>
    </row>
    <row r="174" spans="1:14" x14ac:dyDescent="0.35">
      <c r="A174" t="str">
        <f t="shared" ref="A174:E174" si="22">A36</f>
        <v>Hatsun Agro Product Ltd</v>
      </c>
      <c r="B174">
        <f t="shared" si="22"/>
        <v>2.23</v>
      </c>
      <c r="C174">
        <f t="shared" si="22"/>
        <v>2.14</v>
      </c>
      <c r="D174">
        <f t="shared" si="22"/>
        <v>1.9</v>
      </c>
      <c r="E174">
        <f t="shared" si="22"/>
        <v>1.91</v>
      </c>
      <c r="F174" s="84">
        <f t="shared" si="17"/>
        <v>-0.14349775784753366</v>
      </c>
    </row>
    <row r="175" spans="1:14" x14ac:dyDescent="0.35">
      <c r="A175" t="str">
        <f t="shared" ref="A175:E175" si="23">A37</f>
        <v>Yakult Honsha Co Ltd</v>
      </c>
      <c r="B175">
        <f t="shared" si="23"/>
        <v>0.65</v>
      </c>
      <c r="C175">
        <f t="shared" si="23"/>
        <v>0.65</v>
      </c>
      <c r="D175">
        <f t="shared" si="23"/>
        <v>0.61</v>
      </c>
      <c r="E175">
        <f t="shared" si="23"/>
        <v>0.63</v>
      </c>
      <c r="F175" s="84">
        <f t="shared" si="17"/>
        <v>-3.0769230769230795E-2</v>
      </c>
    </row>
    <row r="176" spans="1:14" x14ac:dyDescent="0.35">
      <c r="A176" t="str">
        <f t="shared" ref="A176:E176" si="24">A38</f>
        <v>Bright Dairy &amp; Food Co Ltd</v>
      </c>
      <c r="B176">
        <f t="shared" si="24"/>
        <v>1.27</v>
      </c>
      <c r="C176">
        <f t="shared" si="24"/>
        <v>1.34</v>
      </c>
      <c r="D176">
        <f t="shared" si="24"/>
        <v>1.34</v>
      </c>
      <c r="E176">
        <f t="shared" si="24"/>
        <v>1.18</v>
      </c>
      <c r="F176" s="84">
        <f t="shared" si="17"/>
        <v>-7.0866141732283533E-2</v>
      </c>
    </row>
    <row r="177" spans="1:6" x14ac:dyDescent="0.35">
      <c r="A177" t="str">
        <f t="shared" ref="A177:E178" si="25">A39</f>
        <v>China Feihe Ltd</v>
      </c>
      <c r="B177">
        <f t="shared" si="25"/>
        <v>0.79</v>
      </c>
      <c r="C177">
        <f t="shared" si="25"/>
        <v>0.72</v>
      </c>
      <c r="D177">
        <f t="shared" si="25"/>
        <v>0.76</v>
      </c>
      <c r="E177">
        <f t="shared" si="25"/>
        <v>0.64</v>
      </c>
      <c r="F177" s="84">
        <f t="shared" si="17"/>
        <v>-0.189873417721519</v>
      </c>
    </row>
    <row r="178" spans="1:6" x14ac:dyDescent="0.35">
      <c r="A178" t="str">
        <f t="shared" si="25"/>
        <v>Industry Median</v>
      </c>
      <c r="B178">
        <f t="shared" si="25"/>
        <v>1</v>
      </c>
      <c r="C178">
        <f t="shared" si="25"/>
        <v>1</v>
      </c>
      <c r="D178">
        <f t="shared" si="25"/>
        <v>1</v>
      </c>
      <c r="E178">
        <f t="shared" si="25"/>
        <v>1</v>
      </c>
      <c r="F178" s="84">
        <f t="shared" si="17"/>
        <v>0</v>
      </c>
    </row>
    <row r="179" spans="1:6" x14ac:dyDescent="0.35">
      <c r="F179" s="84" t="e">
        <f t="shared" si="17"/>
        <v>#DIV/0!</v>
      </c>
    </row>
    <row r="180" spans="1:6" x14ac:dyDescent="0.35">
      <c r="A180" s="79" t="s">
        <v>305</v>
      </c>
      <c r="B180" s="79">
        <v>2019</v>
      </c>
      <c r="C180" s="79">
        <v>2020</v>
      </c>
      <c r="D180" s="79">
        <v>2021</v>
      </c>
      <c r="E180" s="79">
        <v>2022</v>
      </c>
      <c r="F180" s="84">
        <f t="shared" si="17"/>
        <v>1.4858841010401188E-3</v>
      </c>
    </row>
    <row r="181" spans="1:6" x14ac:dyDescent="0.35">
      <c r="A181" t="s">
        <v>270</v>
      </c>
      <c r="B181">
        <v>1.63</v>
      </c>
      <c r="C181">
        <v>1.55</v>
      </c>
      <c r="D181">
        <v>1.61</v>
      </c>
      <c r="E181">
        <v>1.62</v>
      </c>
      <c r="F181" s="270">
        <f t="shared" si="17"/>
        <v>-6.1349693251532443E-3</v>
      </c>
    </row>
    <row r="182" spans="1:6" x14ac:dyDescent="0.35">
      <c r="A182" t="s">
        <v>247</v>
      </c>
      <c r="B182">
        <v>2.58</v>
      </c>
      <c r="C182">
        <v>2.4</v>
      </c>
      <c r="D182">
        <v>2.27</v>
      </c>
      <c r="E182">
        <v>2.23</v>
      </c>
      <c r="F182" s="84">
        <f t="shared" si="17"/>
        <v>-0.13565891472868219</v>
      </c>
    </row>
    <row r="183" spans="1:6" x14ac:dyDescent="0.35">
      <c r="A183" t="s">
        <v>249</v>
      </c>
      <c r="B183">
        <v>2.79</v>
      </c>
      <c r="C183">
        <v>3</v>
      </c>
      <c r="D183">
        <v>3.05</v>
      </c>
      <c r="E183">
        <v>3.19</v>
      </c>
      <c r="F183" s="84">
        <f t="shared" si="17"/>
        <v>0.14336917562724011</v>
      </c>
    </row>
    <row r="184" spans="1:6" x14ac:dyDescent="0.35">
      <c r="A184" t="s">
        <v>250</v>
      </c>
      <c r="B184">
        <v>1.73</v>
      </c>
      <c r="C184">
        <v>1.68</v>
      </c>
      <c r="D184">
        <v>1.57</v>
      </c>
      <c r="E184">
        <v>1.51</v>
      </c>
      <c r="F184" s="84">
        <f t="shared" si="17"/>
        <v>-0.12716763005780346</v>
      </c>
    </row>
    <row r="185" spans="1:6" x14ac:dyDescent="0.35">
      <c r="A185" t="s">
        <v>251</v>
      </c>
      <c r="B185">
        <v>3.08</v>
      </c>
      <c r="C185">
        <v>3.2</v>
      </c>
      <c r="D185">
        <v>2.98</v>
      </c>
      <c r="E185">
        <v>3.06</v>
      </c>
      <c r="F185" s="84">
        <f t="shared" si="17"/>
        <v>-6.4935064935064991E-3</v>
      </c>
    </row>
    <row r="186" spans="1:6" x14ac:dyDescent="0.35">
      <c r="A186" t="s">
        <v>252</v>
      </c>
      <c r="B186">
        <v>1.77</v>
      </c>
      <c r="C186">
        <v>1.6</v>
      </c>
      <c r="D186">
        <v>1.5</v>
      </c>
      <c r="E186">
        <v>1.48</v>
      </c>
      <c r="F186" s="84">
        <f t="shared" si="17"/>
        <v>-0.16384180790960454</v>
      </c>
    </row>
    <row r="187" spans="1:6" x14ac:dyDescent="0.35">
      <c r="A187" t="s">
        <v>253</v>
      </c>
      <c r="B187">
        <v>2.9586499772293058</v>
      </c>
      <c r="C187">
        <v>2.8947607554262631</v>
      </c>
      <c r="D187">
        <v>2.8004318339204772</v>
      </c>
      <c r="E187">
        <v>2.8049999999999997</v>
      </c>
      <c r="F187" s="84">
        <f t="shared" si="17"/>
        <v>-5.1932461903856246E-2</v>
      </c>
    </row>
    <row r="188" spans="1:6" x14ac:dyDescent="0.35">
      <c r="F188" s="84" t="e">
        <f t="shared" si="17"/>
        <v>#DIV/0!</v>
      </c>
    </row>
    <row r="189" spans="1:6" x14ac:dyDescent="0.35">
      <c r="A189" s="79" t="s">
        <v>168</v>
      </c>
      <c r="B189" s="79">
        <v>2019</v>
      </c>
      <c r="C189" s="79">
        <v>2020</v>
      </c>
      <c r="D189" s="79">
        <v>2021</v>
      </c>
      <c r="E189" s="79">
        <v>2022</v>
      </c>
      <c r="F189" s="84">
        <f t="shared" si="17"/>
        <v>1.4858841010401188E-3</v>
      </c>
    </row>
    <row r="190" spans="1:6" x14ac:dyDescent="0.35">
      <c r="A190" t="s">
        <v>270</v>
      </c>
      <c r="B190">
        <v>0.187</v>
      </c>
      <c r="C190">
        <v>0.188</v>
      </c>
      <c r="D190">
        <v>0.17499999999999999</v>
      </c>
      <c r="E190">
        <v>0.14299999999999999</v>
      </c>
      <c r="F190" s="270">
        <f>(E190-B190)/B190</f>
        <v>-0.23529411764705888</v>
      </c>
    </row>
    <row r="191" spans="1:6" x14ac:dyDescent="0.35">
      <c r="A191" t="s">
        <v>247</v>
      </c>
      <c r="B191">
        <v>2.4E-2</v>
      </c>
      <c r="C191">
        <v>3.2000000000000001E-2</v>
      </c>
      <c r="D191">
        <v>3.2000000000000001E-2</v>
      </c>
      <c r="E191">
        <v>6.7000000000000004E-2</v>
      </c>
      <c r="F191" s="84">
        <f t="shared" si="17"/>
        <v>1.7916666666666667</v>
      </c>
    </row>
    <row r="192" spans="1:6" x14ac:dyDescent="0.35">
      <c r="A192" t="s">
        <v>249</v>
      </c>
      <c r="B192">
        <v>2.4E-2</v>
      </c>
      <c r="C192">
        <v>2.1000000000000001E-2</v>
      </c>
      <c r="D192">
        <v>4.9000000000000002E-2</v>
      </c>
      <c r="E192">
        <v>3.9E-2</v>
      </c>
      <c r="F192" s="84">
        <f t="shared" si="17"/>
        <v>0.625</v>
      </c>
    </row>
    <row r="193" spans="1:6" x14ac:dyDescent="0.35">
      <c r="A193" t="s">
        <v>250</v>
      </c>
      <c r="B193">
        <v>9.9000000000000005E-2</v>
      </c>
      <c r="C193">
        <v>0.11</v>
      </c>
      <c r="D193">
        <v>0.113</v>
      </c>
      <c r="E193">
        <v>0.11899999999999999</v>
      </c>
      <c r="F193" s="84">
        <f t="shared" si="17"/>
        <v>0.20202020202020191</v>
      </c>
    </row>
    <row r="194" spans="1:6" x14ac:dyDescent="0.35">
      <c r="A194" t="s">
        <v>251</v>
      </c>
      <c r="B194">
        <v>0.03</v>
      </c>
      <c r="C194">
        <v>3.1E-2</v>
      </c>
      <c r="D194">
        <v>1.9E-2</v>
      </c>
      <c r="E194">
        <v>1.4E-2</v>
      </c>
      <c r="F194" s="84">
        <f t="shared" si="17"/>
        <v>-0.53333333333333333</v>
      </c>
    </row>
    <row r="195" spans="1:6" x14ac:dyDescent="0.35">
      <c r="A195" t="s">
        <v>252</v>
      </c>
      <c r="B195">
        <v>0.28699999999999998</v>
      </c>
      <c r="C195">
        <v>0.4</v>
      </c>
      <c r="D195">
        <v>0.30399999999999999</v>
      </c>
      <c r="E195">
        <v>0.23200000000000001</v>
      </c>
      <c r="F195" s="84">
        <f t="shared" si="17"/>
        <v>-0.1916376306620208</v>
      </c>
    </row>
    <row r="196" spans="1:6" x14ac:dyDescent="0.35">
      <c r="A196" t="s">
        <v>253</v>
      </c>
      <c r="B196">
        <v>7.2000000000000008E-2</v>
      </c>
      <c r="C196">
        <v>7.9000000000000001E-2</v>
      </c>
      <c r="D196">
        <v>7.8E-2</v>
      </c>
      <c r="E196">
        <v>6.5000000000000002E-2</v>
      </c>
      <c r="F196" s="84">
        <f t="shared" si="17"/>
        <v>-9.7222222222222293E-2</v>
      </c>
    </row>
    <row r="197" spans="1:6" x14ac:dyDescent="0.35">
      <c r="B197">
        <v>7.2</v>
      </c>
      <c r="C197">
        <v>7.9</v>
      </c>
      <c r="D197">
        <v>7.8</v>
      </c>
      <c r="E197">
        <v>6.5</v>
      </c>
      <c r="F197" s="84">
        <f t="shared" si="17"/>
        <v>-9.7222222222222238E-2</v>
      </c>
    </row>
    <row r="201" spans="1:6" x14ac:dyDescent="0.35">
      <c r="B201">
        <v>2019</v>
      </c>
      <c r="C201">
        <v>2020</v>
      </c>
      <c r="D201">
        <v>2021</v>
      </c>
      <c r="E201">
        <v>2022</v>
      </c>
    </row>
    <row r="202" spans="1:6" x14ac:dyDescent="0.35">
      <c r="A202" t="s">
        <v>168</v>
      </c>
      <c r="B202">
        <v>0.187</v>
      </c>
      <c r="C202">
        <v>0.188</v>
      </c>
      <c r="D202">
        <v>0.17499999999999999</v>
      </c>
      <c r="E202">
        <v>0.14299999999999999</v>
      </c>
    </row>
    <row r="203" spans="1:6" x14ac:dyDescent="0.35">
      <c r="A203" t="s">
        <v>305</v>
      </c>
      <c r="B203">
        <v>1.63</v>
      </c>
      <c r="C203">
        <v>1.55</v>
      </c>
      <c r="D203">
        <v>1.61</v>
      </c>
      <c r="E203">
        <v>1.62</v>
      </c>
    </row>
    <row r="204" spans="1:6" x14ac:dyDescent="0.35">
      <c r="A204" t="s">
        <v>308</v>
      </c>
      <c r="B204">
        <f>B172</f>
        <v>1.37</v>
      </c>
      <c r="C204">
        <f t="shared" ref="C204:E204" si="26">C172</f>
        <v>1.28</v>
      </c>
      <c r="D204">
        <f t="shared" si="26"/>
        <v>1.2</v>
      </c>
      <c r="E204">
        <f t="shared" si="26"/>
        <v>1.18</v>
      </c>
    </row>
    <row r="205" spans="1:6" x14ac:dyDescent="0.35">
      <c r="A205" t="s">
        <v>306</v>
      </c>
      <c r="B205">
        <v>0.39700000000000002</v>
      </c>
      <c r="C205">
        <v>0.378</v>
      </c>
      <c r="D205">
        <v>0.32700000000000001</v>
      </c>
      <c r="E205">
        <v>0.27100000000000002</v>
      </c>
    </row>
  </sheetData>
  <mergeCells count="20">
    <mergeCell ref="A125:B125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32:B132"/>
    <mergeCell ref="A133:B133"/>
    <mergeCell ref="A126:B126"/>
    <mergeCell ref="A127:B127"/>
    <mergeCell ref="A128:B128"/>
    <mergeCell ref="A129:B129"/>
    <mergeCell ref="A130:B130"/>
    <mergeCell ref="A131:B1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F0D8-5232-46D8-A2B3-A537EA7517B5}">
  <dimension ref="A1:Q84"/>
  <sheetViews>
    <sheetView topLeftCell="B16" zoomScale="70" zoomScaleNormal="70" workbookViewId="0">
      <selection activeCell="L35" sqref="L35"/>
    </sheetView>
  </sheetViews>
  <sheetFormatPr defaultRowHeight="14.5" x14ac:dyDescent="0.35"/>
  <cols>
    <col min="1" max="1" width="34" customWidth="1"/>
    <col min="2" max="2" width="10.54296875" bestFit="1" customWidth="1"/>
    <col min="4" max="4" width="8.7265625" style="265"/>
    <col min="5" max="6" width="15.7265625" bestFit="1" customWidth="1"/>
    <col min="7" max="9" width="11.81640625" style="134" bestFit="1" customWidth="1"/>
    <col min="10" max="10" width="14.26953125" style="134" bestFit="1" customWidth="1"/>
    <col min="11" max="11" width="15.7265625" style="134" bestFit="1" customWidth="1"/>
    <col min="12" max="12" width="56.54296875" bestFit="1" customWidth="1"/>
    <col min="13" max="13" width="15.54296875" bestFit="1" customWidth="1"/>
    <col min="14" max="14" width="116.81640625" bestFit="1" customWidth="1"/>
    <col min="15" max="15" width="12.7265625" bestFit="1" customWidth="1"/>
    <col min="16" max="16" width="8.453125" bestFit="1" customWidth="1"/>
    <col min="16368" max="16383" width="9.1796875" bestFit="1" customWidth="1"/>
    <col min="16384" max="16384" width="9.1796875" customWidth="1"/>
  </cols>
  <sheetData>
    <row r="1" spans="1:16" x14ac:dyDescent="0.35">
      <c r="A1" s="99" t="s">
        <v>309</v>
      </c>
    </row>
    <row r="3" spans="1:16" x14ac:dyDescent="0.35">
      <c r="A3" s="100" t="s">
        <v>310</v>
      </c>
    </row>
    <row r="4" spans="1:16" ht="15" thickBot="1" x14ac:dyDescent="0.4">
      <c r="A4" s="100" t="s">
        <v>311</v>
      </c>
    </row>
    <row r="5" spans="1:16" ht="15" thickBot="1" x14ac:dyDescent="0.4">
      <c r="A5" s="175"/>
      <c r="B5" s="102">
        <v>2013</v>
      </c>
      <c r="C5" s="102">
        <v>2014</v>
      </c>
      <c r="D5" s="361">
        <v>2015</v>
      </c>
      <c r="E5" s="102">
        <v>2016</v>
      </c>
      <c r="F5" s="102">
        <v>2017</v>
      </c>
      <c r="G5" s="376">
        <v>2018</v>
      </c>
      <c r="H5" s="376">
        <v>2019</v>
      </c>
      <c r="I5" s="376">
        <v>2020</v>
      </c>
      <c r="J5" s="376">
        <v>2021</v>
      </c>
      <c r="K5" s="376">
        <v>2022</v>
      </c>
      <c r="L5">
        <v>2023</v>
      </c>
      <c r="M5">
        <v>2024</v>
      </c>
      <c r="N5">
        <v>2025</v>
      </c>
      <c r="O5">
        <v>2026</v>
      </c>
      <c r="P5">
        <v>2027</v>
      </c>
    </row>
    <row r="6" spans="1:16" ht="15" thickBot="1" x14ac:dyDescent="0.4">
      <c r="A6" s="103" t="s">
        <v>312</v>
      </c>
      <c r="B6" s="105" t="s">
        <v>313</v>
      </c>
      <c r="C6" s="121" t="s">
        <v>314</v>
      </c>
      <c r="D6" s="357" t="s">
        <v>315</v>
      </c>
      <c r="E6" s="105" t="s">
        <v>316</v>
      </c>
      <c r="F6" s="105" t="s">
        <v>317</v>
      </c>
      <c r="G6" s="373" t="s">
        <v>318</v>
      </c>
      <c r="H6" s="370" t="s">
        <v>319</v>
      </c>
      <c r="I6" s="370" t="s">
        <v>319</v>
      </c>
      <c r="J6" s="370" t="s">
        <v>320</v>
      </c>
      <c r="K6" s="367" t="s">
        <v>321</v>
      </c>
    </row>
    <row r="7" spans="1:16" x14ac:dyDescent="0.35">
      <c r="A7" s="160" t="s">
        <v>209</v>
      </c>
      <c r="B7" s="145" t="s">
        <v>322</v>
      </c>
      <c r="C7" s="145" t="s">
        <v>323</v>
      </c>
      <c r="D7" s="362" t="s">
        <v>324</v>
      </c>
      <c r="E7" s="145" t="s">
        <v>325</v>
      </c>
      <c r="F7" s="145" t="s">
        <v>326</v>
      </c>
      <c r="G7" s="365" t="s">
        <v>327</v>
      </c>
      <c r="H7" s="365" t="s">
        <v>328</v>
      </c>
      <c r="I7" s="365" t="s">
        <v>210</v>
      </c>
      <c r="J7" s="365" t="s">
        <v>211</v>
      </c>
      <c r="K7" s="365" t="s">
        <v>212</v>
      </c>
    </row>
    <row r="8" spans="1:16" ht="15" thickBot="1" x14ac:dyDescent="0.4">
      <c r="A8" s="98" t="s">
        <v>329</v>
      </c>
      <c r="B8" s="98"/>
      <c r="C8" s="98"/>
      <c r="D8" s="360"/>
      <c r="E8" s="98"/>
      <c r="F8" s="98"/>
      <c r="G8" s="382"/>
      <c r="H8" s="382"/>
      <c r="I8" s="382"/>
      <c r="J8" s="382"/>
      <c r="K8" s="382"/>
    </row>
    <row r="9" spans="1:16" ht="15" thickBot="1" x14ac:dyDescent="0.4">
      <c r="A9" s="181" t="s">
        <v>330</v>
      </c>
      <c r="B9" s="150">
        <v>8010</v>
      </c>
      <c r="C9" s="150">
        <v>7613</v>
      </c>
      <c r="D9" s="262">
        <v>9367</v>
      </c>
      <c r="E9" s="150">
        <v>11238</v>
      </c>
      <c r="F9" s="150">
        <v>12229</v>
      </c>
      <c r="G9" s="379">
        <v>12052</v>
      </c>
      <c r="H9" s="379">
        <v>12796</v>
      </c>
      <c r="I9" s="379">
        <v>13519</v>
      </c>
      <c r="J9" s="379">
        <v>12922</v>
      </c>
      <c r="K9" s="379">
        <v>10496</v>
      </c>
    </row>
    <row r="10" spans="1:16" ht="15" thickBot="1" x14ac:dyDescent="0.4">
      <c r="A10" s="164" t="s">
        <v>331</v>
      </c>
      <c r="B10" s="146">
        <v>786</v>
      </c>
      <c r="C10" s="146">
        <v>1033</v>
      </c>
      <c r="D10" s="262">
        <v>1097</v>
      </c>
      <c r="E10" s="146">
        <v>1191</v>
      </c>
      <c r="F10" s="146">
        <v>1278</v>
      </c>
      <c r="G10" s="379">
        <v>1627</v>
      </c>
      <c r="H10" s="379">
        <v>1948</v>
      </c>
      <c r="I10" s="379">
        <v>2209</v>
      </c>
      <c r="J10" s="379">
        <v>2121</v>
      </c>
      <c r="K10" s="379">
        <v>2095</v>
      </c>
    </row>
    <row r="11" spans="1:16" ht="15" thickBot="1" x14ac:dyDescent="0.4">
      <c r="A11" s="318" t="s">
        <v>78</v>
      </c>
      <c r="B11" s="148">
        <v>786</v>
      </c>
      <c r="C11" s="148">
        <v>1033</v>
      </c>
      <c r="D11" s="262">
        <v>1097</v>
      </c>
      <c r="E11" s="148">
        <v>1191</v>
      </c>
      <c r="F11" s="148">
        <v>1278</v>
      </c>
      <c r="G11" s="379">
        <v>1627</v>
      </c>
      <c r="H11" s="379">
        <v>1948</v>
      </c>
      <c r="I11" s="379">
        <v>2209</v>
      </c>
      <c r="J11" s="379">
        <v>2121</v>
      </c>
      <c r="K11" s="379">
        <v>2095</v>
      </c>
    </row>
    <row r="12" spans="1:16" ht="15" thickBot="1" x14ac:dyDescent="0.4">
      <c r="A12" s="164" t="s">
        <v>79</v>
      </c>
      <c r="B12" s="146" t="s">
        <v>89</v>
      </c>
      <c r="C12" s="146" t="s">
        <v>89</v>
      </c>
      <c r="D12" s="262" t="s">
        <v>89</v>
      </c>
      <c r="E12" s="146">
        <v>18</v>
      </c>
      <c r="F12" s="146">
        <v>41</v>
      </c>
      <c r="G12" s="379">
        <v>57</v>
      </c>
      <c r="H12" s="379">
        <v>68</v>
      </c>
      <c r="I12" s="379">
        <v>608</v>
      </c>
      <c r="J12" s="379">
        <v>246</v>
      </c>
      <c r="K12" s="379">
        <v>246</v>
      </c>
    </row>
    <row r="13" spans="1:16" ht="15" thickBot="1" x14ac:dyDescent="0.4">
      <c r="A13" s="318" t="s">
        <v>332</v>
      </c>
      <c r="B13" s="148" t="s">
        <v>89</v>
      </c>
      <c r="C13" s="148" t="s">
        <v>89</v>
      </c>
      <c r="D13" s="262" t="s">
        <v>89</v>
      </c>
      <c r="E13" s="148" t="s">
        <v>89</v>
      </c>
      <c r="F13" s="148">
        <v>16</v>
      </c>
      <c r="G13" s="379" t="s">
        <v>89</v>
      </c>
      <c r="H13" s="379" t="s">
        <v>89</v>
      </c>
      <c r="I13" s="379" t="s">
        <v>89</v>
      </c>
      <c r="J13" s="379" t="s">
        <v>89</v>
      </c>
      <c r="K13" s="379" t="s">
        <v>89</v>
      </c>
    </row>
    <row r="14" spans="1:16" ht="15" thickBot="1" x14ac:dyDescent="0.4">
      <c r="A14" s="318" t="s">
        <v>301</v>
      </c>
      <c r="B14" s="148" t="s">
        <v>89</v>
      </c>
      <c r="C14" s="148" t="s">
        <v>89</v>
      </c>
      <c r="D14" s="262" t="s">
        <v>89</v>
      </c>
      <c r="E14" s="148">
        <v>18</v>
      </c>
      <c r="F14" s="148">
        <v>25</v>
      </c>
      <c r="G14" s="379">
        <v>57</v>
      </c>
      <c r="H14" s="379">
        <v>68</v>
      </c>
      <c r="I14" s="379">
        <v>608</v>
      </c>
      <c r="J14" s="379">
        <v>246</v>
      </c>
      <c r="K14" s="379">
        <v>246</v>
      </c>
    </row>
    <row r="15" spans="1:16" ht="15" thickBot="1" x14ac:dyDescent="0.4">
      <c r="A15" s="181" t="s">
        <v>333</v>
      </c>
      <c r="B15" s="150" t="s">
        <v>89</v>
      </c>
      <c r="C15" s="150" t="s">
        <v>89</v>
      </c>
      <c r="D15" s="262" t="s">
        <v>89</v>
      </c>
      <c r="E15" s="150" t="s">
        <v>89</v>
      </c>
      <c r="F15" s="150" t="s">
        <v>89</v>
      </c>
      <c r="G15" s="379" t="s">
        <v>89</v>
      </c>
      <c r="H15" s="379" t="s">
        <v>89</v>
      </c>
      <c r="I15" s="379" t="s">
        <v>89</v>
      </c>
      <c r="J15" s="379" t="s">
        <v>89</v>
      </c>
      <c r="K15" s="379" t="s">
        <v>89</v>
      </c>
    </row>
    <row r="16" spans="1:16" ht="15" thickBot="1" x14ac:dyDescent="0.4">
      <c r="A16" s="164" t="s">
        <v>334</v>
      </c>
      <c r="B16" s="146">
        <v>-395</v>
      </c>
      <c r="C16" s="146">
        <v>-493</v>
      </c>
      <c r="D16" s="262">
        <v>-496</v>
      </c>
      <c r="E16" s="146">
        <v>-583</v>
      </c>
      <c r="F16" s="146">
        <v>-778</v>
      </c>
      <c r="G16" s="379">
        <v>-675</v>
      </c>
      <c r="H16" s="379">
        <v>-556</v>
      </c>
      <c r="I16" s="379">
        <v>-1245</v>
      </c>
      <c r="J16" s="379">
        <v>-867</v>
      </c>
      <c r="K16" s="379">
        <v>-933</v>
      </c>
    </row>
    <row r="17" spans="1:17" ht="15" thickBot="1" x14ac:dyDescent="0.4">
      <c r="A17" s="318" t="s">
        <v>335</v>
      </c>
      <c r="B17" s="148">
        <v>-24</v>
      </c>
      <c r="C17" s="148">
        <v>-29</v>
      </c>
      <c r="D17" s="262">
        <v>17</v>
      </c>
      <c r="E17" s="148">
        <v>7</v>
      </c>
      <c r="F17" s="148">
        <v>-56</v>
      </c>
      <c r="G17" s="379">
        <v>45</v>
      </c>
      <c r="H17" s="379">
        <v>48</v>
      </c>
      <c r="I17" s="379">
        <v>-261</v>
      </c>
      <c r="J17" s="379">
        <v>119</v>
      </c>
      <c r="K17" s="379">
        <v>113</v>
      </c>
    </row>
    <row r="18" spans="1:17" ht="15" thickBot="1" x14ac:dyDescent="0.4">
      <c r="A18" s="318" t="s">
        <v>336</v>
      </c>
      <c r="B18" s="148">
        <v>-371</v>
      </c>
      <c r="C18" s="148">
        <v>-464</v>
      </c>
      <c r="D18" s="262">
        <v>-513</v>
      </c>
      <c r="E18" s="148">
        <v>-590</v>
      </c>
      <c r="F18" s="148">
        <v>-722</v>
      </c>
      <c r="G18" s="379">
        <v>-720</v>
      </c>
      <c r="H18" s="379">
        <v>-604</v>
      </c>
      <c r="I18" s="379">
        <v>-984</v>
      </c>
      <c r="J18" s="379">
        <v>-985</v>
      </c>
      <c r="K18" s="379">
        <v>-1046</v>
      </c>
    </row>
    <row r="19" spans="1:17" ht="15" thickBot="1" x14ac:dyDescent="0.4">
      <c r="A19" s="164" t="s">
        <v>125</v>
      </c>
      <c r="B19" s="146">
        <v>-2150</v>
      </c>
      <c r="C19" s="146">
        <v>-2818</v>
      </c>
      <c r="D19" s="262">
        <v>-2309</v>
      </c>
      <c r="E19" s="146">
        <v>-3474</v>
      </c>
      <c r="F19" s="146">
        <v>-3169</v>
      </c>
      <c r="G19" s="379">
        <v>-4920</v>
      </c>
      <c r="H19" s="379">
        <v>-2846</v>
      </c>
      <c r="I19" s="379">
        <v>-4910</v>
      </c>
      <c r="J19" s="379">
        <v>-4991</v>
      </c>
      <c r="K19" s="379">
        <v>-3076</v>
      </c>
    </row>
    <row r="20" spans="1:17" ht="15" thickBot="1" x14ac:dyDescent="0.4">
      <c r="A20" s="318" t="s">
        <v>126</v>
      </c>
      <c r="B20" s="148">
        <v>-38</v>
      </c>
      <c r="C20" s="148">
        <v>-88</v>
      </c>
      <c r="D20" s="262">
        <v>166</v>
      </c>
      <c r="E20" s="148">
        <v>-183</v>
      </c>
      <c r="F20" s="148">
        <v>-1599</v>
      </c>
      <c r="G20" s="379">
        <v>-109</v>
      </c>
      <c r="H20" s="379">
        <v>374</v>
      </c>
      <c r="I20" s="379">
        <v>-715</v>
      </c>
      <c r="J20" s="262">
        <v>-517</v>
      </c>
      <c r="K20" s="262">
        <v>-288</v>
      </c>
    </row>
    <row r="21" spans="1:17" ht="15" thickBot="1" x14ac:dyDescent="0.4">
      <c r="A21" s="318" t="s">
        <v>127</v>
      </c>
      <c r="B21" s="148">
        <v>259</v>
      </c>
      <c r="C21" s="148">
        <v>-545</v>
      </c>
      <c r="D21" s="262">
        <v>-499</v>
      </c>
      <c r="E21" s="148">
        <v>-1037</v>
      </c>
      <c r="F21" s="148">
        <v>318</v>
      </c>
      <c r="G21" s="379">
        <v>-1685</v>
      </c>
      <c r="H21" s="379">
        <v>402</v>
      </c>
      <c r="I21" s="379">
        <v>-270</v>
      </c>
      <c r="J21" s="262">
        <v>-2261</v>
      </c>
      <c r="K21" s="262">
        <v>851</v>
      </c>
    </row>
    <row r="22" spans="1:17" ht="15" thickBot="1" x14ac:dyDescent="0.4">
      <c r="A22" s="396" t="s">
        <v>87</v>
      </c>
      <c r="B22" s="148">
        <v>-28</v>
      </c>
      <c r="C22" s="148">
        <v>6</v>
      </c>
      <c r="D22" s="262">
        <v>-36</v>
      </c>
      <c r="E22" s="148">
        <v>84</v>
      </c>
      <c r="F22" s="148">
        <v>-10</v>
      </c>
      <c r="G22" s="379">
        <v>69</v>
      </c>
      <c r="H22" s="379">
        <v>16</v>
      </c>
      <c r="I22" s="379">
        <v>24</v>
      </c>
      <c r="J22" s="379">
        <v>0</v>
      </c>
      <c r="K22" s="379">
        <v>-73</v>
      </c>
    </row>
    <row r="23" spans="1:17" ht="15" thickBot="1" x14ac:dyDescent="0.4">
      <c r="A23" s="396" t="s">
        <v>86</v>
      </c>
      <c r="B23" s="148" t="s">
        <v>89</v>
      </c>
      <c r="C23" s="148">
        <v>10</v>
      </c>
      <c r="D23" s="262">
        <v>124</v>
      </c>
      <c r="E23" s="148">
        <v>11</v>
      </c>
      <c r="F23" s="148">
        <v>0</v>
      </c>
      <c r="G23" s="379" t="s">
        <v>89</v>
      </c>
      <c r="H23" s="379">
        <v>-4</v>
      </c>
      <c r="I23" s="379">
        <v>0</v>
      </c>
      <c r="J23" s="379">
        <v>0</v>
      </c>
      <c r="K23" s="379" t="s">
        <v>89</v>
      </c>
    </row>
    <row r="24" spans="1:17" ht="15" thickBot="1" x14ac:dyDescent="0.4">
      <c r="A24" s="318" t="s">
        <v>82</v>
      </c>
      <c r="B24" s="148">
        <v>-272</v>
      </c>
      <c r="C24" s="148">
        <v>-41</v>
      </c>
      <c r="D24" s="262">
        <v>484</v>
      </c>
      <c r="E24" s="148">
        <v>330</v>
      </c>
      <c r="F24" s="148">
        <v>959</v>
      </c>
      <c r="G24" s="379">
        <v>-15</v>
      </c>
      <c r="H24" s="379">
        <v>-400</v>
      </c>
      <c r="I24" s="379">
        <v>-213</v>
      </c>
      <c r="J24" s="262">
        <v>1484</v>
      </c>
      <c r="K24" s="262">
        <v>-386</v>
      </c>
    </row>
    <row r="25" spans="1:17" ht="15" thickBot="1" x14ac:dyDescent="0.4">
      <c r="A25" s="318" t="s">
        <v>337</v>
      </c>
      <c r="B25" s="148">
        <v>-2071</v>
      </c>
      <c r="C25" s="148">
        <v>-2159</v>
      </c>
      <c r="D25" s="262">
        <v>-2549</v>
      </c>
      <c r="E25" s="148">
        <v>-2680</v>
      </c>
      <c r="F25" s="148">
        <v>-2837</v>
      </c>
      <c r="G25" s="379">
        <v>-3180</v>
      </c>
      <c r="H25" s="379">
        <v>-3234</v>
      </c>
      <c r="I25" s="379">
        <v>-3736</v>
      </c>
      <c r="J25" s="379">
        <v>-3697</v>
      </c>
      <c r="K25" s="379">
        <v>-3180</v>
      </c>
    </row>
    <row r="26" spans="1:17" ht="15" thickBot="1" x14ac:dyDescent="0.4">
      <c r="A26" s="181" t="s">
        <v>338</v>
      </c>
      <c r="B26" s="150">
        <v>6252</v>
      </c>
      <c r="C26" s="150">
        <v>5335</v>
      </c>
      <c r="D26" s="262">
        <v>7659</v>
      </c>
      <c r="E26" s="150">
        <v>8390</v>
      </c>
      <c r="F26" s="150">
        <v>9602</v>
      </c>
      <c r="G26" s="379">
        <v>8140</v>
      </c>
      <c r="H26" s="379">
        <v>11410</v>
      </c>
      <c r="I26" s="379">
        <v>10180</v>
      </c>
      <c r="J26" s="379">
        <v>9432</v>
      </c>
      <c r="K26" s="379">
        <v>8827</v>
      </c>
    </row>
    <row r="27" spans="1:17" x14ac:dyDescent="0.35">
      <c r="A27" s="151"/>
      <c r="B27" s="151"/>
      <c r="C27" s="151"/>
      <c r="D27" s="359"/>
      <c r="E27" s="151"/>
      <c r="F27" s="151"/>
      <c r="G27" s="375"/>
      <c r="H27" s="375"/>
      <c r="I27" s="375"/>
      <c r="J27" s="375"/>
      <c r="K27" s="375"/>
    </row>
    <row r="28" spans="1:17" ht="15" thickBot="1" x14ac:dyDescent="0.4">
      <c r="A28" s="98" t="s">
        <v>339</v>
      </c>
      <c r="B28" s="98"/>
      <c r="C28" s="98"/>
      <c r="D28" s="360"/>
      <c r="E28" s="98"/>
      <c r="F28" s="98"/>
      <c r="G28" s="382"/>
      <c r="H28" s="382"/>
      <c r="I28" s="382"/>
      <c r="J28" s="382"/>
      <c r="K28" s="382"/>
      <c r="L28">
        <v>2023</v>
      </c>
      <c r="M28">
        <v>2024</v>
      </c>
      <c r="N28">
        <v>2025</v>
      </c>
      <c r="O28">
        <v>2026</v>
      </c>
      <c r="P28">
        <v>2027</v>
      </c>
    </row>
    <row r="29" spans="1:17" s="356" customFormat="1" ht="30" customHeight="1" x14ac:dyDescent="0.35">
      <c r="A29" s="363" t="s">
        <v>340</v>
      </c>
      <c r="B29" s="380">
        <v>-1491</v>
      </c>
      <c r="C29" s="364">
        <v>-859</v>
      </c>
      <c r="D29" s="358">
        <v>-1068</v>
      </c>
      <c r="E29" s="364">
        <v>-1142</v>
      </c>
      <c r="F29" s="364">
        <v>-2673</v>
      </c>
      <c r="G29" s="372">
        <v>-3186</v>
      </c>
      <c r="H29" s="372">
        <v>-2158</v>
      </c>
      <c r="I29" s="372">
        <v>-1265</v>
      </c>
      <c r="J29" s="372">
        <v>-1531</v>
      </c>
      <c r="K29" s="372">
        <v>-1457</v>
      </c>
      <c r="L29" s="372">
        <f>K29*(1+L37)</f>
        <v>-1932.7551020408162</v>
      </c>
      <c r="M29" s="372">
        <f>L29*(1+M37)</f>
        <v>-2200.3673469387754</v>
      </c>
      <c r="N29" s="372">
        <f>M29*(1+N37)</f>
        <v>-2319.3061224489793</v>
      </c>
      <c r="O29" s="372">
        <f>N29*(1+O37)</f>
        <v>-2557.1836734693875</v>
      </c>
      <c r="P29" s="372">
        <f>O29*(1+P37)</f>
        <v>-2557.1836734693875</v>
      </c>
    </row>
    <row r="30" spans="1:17" s="356" customFormat="1" ht="30" customHeight="1" x14ac:dyDescent="0.35">
      <c r="A30" s="381"/>
      <c r="B30" s="378"/>
      <c r="C30" s="384">
        <f t="shared" ref="C30:K30" si="0">C29/B29-1</f>
        <v>-0.42387659289067736</v>
      </c>
      <c r="D30" s="385">
        <f t="shared" si="0"/>
        <v>0.24330616996507559</v>
      </c>
      <c r="E30" s="384">
        <f t="shared" si="0"/>
        <v>6.9288389513108672E-2</v>
      </c>
      <c r="F30" s="384">
        <f t="shared" si="0"/>
        <v>1.3406304728546408</v>
      </c>
      <c r="G30" s="385">
        <f t="shared" si="0"/>
        <v>0.19191919191919182</v>
      </c>
      <c r="H30" s="385">
        <f t="shared" si="0"/>
        <v>-0.32266164469554304</v>
      </c>
      <c r="I30" s="385">
        <f t="shared" si="0"/>
        <v>-0.41380908248378123</v>
      </c>
      <c r="J30" s="385">
        <f t="shared" si="0"/>
        <v>0.21027667984189713</v>
      </c>
      <c r="K30" s="385">
        <f t="shared" si="0"/>
        <v>-4.833442194644022E-2</v>
      </c>
      <c r="L30" s="356">
        <f>K29*(1+L37)</f>
        <v>-1932.7551020408162</v>
      </c>
      <c r="Q30" s="391">
        <f>AVERAGE(C30:K30)</f>
        <v>9.4082129119719124E-2</v>
      </c>
    </row>
    <row r="31" spans="1:17" x14ac:dyDescent="0.35">
      <c r="A31" s="381"/>
      <c r="B31" s="378"/>
      <c r="C31" s="374"/>
      <c r="D31" s="371"/>
      <c r="E31" s="374"/>
      <c r="F31" s="368">
        <f>E32+F32</f>
        <v>4700</v>
      </c>
      <c r="G31" s="368">
        <f t="shared" ref="G31:P31" si="1">F31+G32</f>
        <v>32700</v>
      </c>
      <c r="H31" s="368">
        <f t="shared" si="1"/>
        <v>37000</v>
      </c>
      <c r="I31" s="368">
        <f t="shared" si="1"/>
        <v>41000</v>
      </c>
      <c r="J31" s="368">
        <f t="shared" si="1"/>
        <v>41000</v>
      </c>
      <c r="K31" s="368">
        <f t="shared" si="1"/>
        <v>49000</v>
      </c>
      <c r="L31" s="368">
        <f t="shared" si="1"/>
        <v>65000</v>
      </c>
      <c r="M31" s="368">
        <f t="shared" si="1"/>
        <v>74000</v>
      </c>
      <c r="N31" s="368">
        <f t="shared" si="1"/>
        <v>78000</v>
      </c>
      <c r="O31" s="368">
        <f t="shared" si="1"/>
        <v>86000</v>
      </c>
      <c r="P31" s="368">
        <f t="shared" si="1"/>
        <v>86000</v>
      </c>
    </row>
    <row r="32" spans="1:17" x14ac:dyDescent="0.35">
      <c r="B32">
        <v>8000</v>
      </c>
      <c r="D32"/>
      <c r="E32">
        <v>4000</v>
      </c>
      <c r="F32">
        <v>700</v>
      </c>
      <c r="G32" s="134">
        <v>28000</v>
      </c>
      <c r="H32" s="134">
        <v>4300</v>
      </c>
      <c r="I32" s="134">
        <v>4000</v>
      </c>
      <c r="J32" s="369">
        <v>0</v>
      </c>
      <c r="K32" s="134">
        <v>8000</v>
      </c>
      <c r="L32" s="134">
        <f>4000+5000+7000</f>
        <v>16000</v>
      </c>
      <c r="M32" s="134">
        <f>7000+2000</f>
        <v>9000</v>
      </c>
      <c r="N32" s="134">
        <f>4000</f>
        <v>4000</v>
      </c>
      <c r="O32" s="134">
        <f>8000</f>
        <v>8000</v>
      </c>
      <c r="P32" s="134"/>
    </row>
    <row r="33" spans="1:16" ht="29.15" customHeight="1" x14ac:dyDescent="0.35">
      <c r="B33">
        <f>B34/1000000000</f>
        <v>1127.953553346</v>
      </c>
      <c r="C33">
        <f t="shared" ref="C33:E33" si="2">C34/1000000000</f>
        <v>0</v>
      </c>
      <c r="D33" t="s">
        <v>341</v>
      </c>
      <c r="E33">
        <f t="shared" si="2"/>
        <v>1044.51933577</v>
      </c>
      <c r="F33">
        <f t="shared" ref="F33" si="3">F34/1000000000</f>
        <v>2437.6059291609999</v>
      </c>
      <c r="G33" s="134">
        <f t="shared" ref="G33" si="4">G34/1000000000</f>
        <v>2522.897009069</v>
      </c>
      <c r="H33" s="134">
        <f t="shared" ref="H33" si="5">H34/1000000000</f>
        <v>1360.1414923919999</v>
      </c>
      <c r="I33" s="134">
        <f t="shared" ref="I33" si="6">I34/1000000000</f>
        <v>804.68748389899997</v>
      </c>
      <c r="J33" s="134">
        <f t="shared" ref="J33" si="7">J34/1000000000</f>
        <v>699.23371408599996</v>
      </c>
      <c r="K33" s="134">
        <f t="shared" ref="K33" si="8">K34/1000000000</f>
        <v>1306.831083954</v>
      </c>
      <c r="L33" t="s">
        <v>342</v>
      </c>
      <c r="M33" t="s">
        <v>343</v>
      </c>
      <c r="N33" t="s">
        <v>342</v>
      </c>
      <c r="P33" t="s">
        <v>343</v>
      </c>
    </row>
    <row r="34" spans="1:16" ht="34" customHeight="1" x14ac:dyDescent="0.35">
      <c r="B34" s="69">
        <v>1127953553346</v>
      </c>
      <c r="D34"/>
      <c r="E34" s="69">
        <v>1044519335770</v>
      </c>
      <c r="F34" s="69">
        <v>2437605929161</v>
      </c>
      <c r="G34" s="134">
        <v>2522897009069</v>
      </c>
      <c r="H34" s="134">
        <v>1360141492392</v>
      </c>
      <c r="I34" s="134">
        <v>804687483899</v>
      </c>
      <c r="J34" s="366">
        <v>699233714086</v>
      </c>
      <c r="K34" s="366">
        <v>1306831083954</v>
      </c>
      <c r="L34" s="389" t="s">
        <v>344</v>
      </c>
      <c r="N34" s="389" t="s">
        <v>344</v>
      </c>
    </row>
    <row r="35" spans="1:16" x14ac:dyDescent="0.35">
      <c r="D35"/>
      <c r="F35" s="84">
        <f>F33/E33-1</f>
        <v>1.3337106798162264</v>
      </c>
      <c r="G35" s="84">
        <f t="shared" ref="G35:K35" si="9">G33/F33-1</f>
        <v>3.4989691683822155E-2</v>
      </c>
      <c r="H35" s="84">
        <f t="shared" si="9"/>
        <v>-0.46088108729657595</v>
      </c>
      <c r="I35" s="84">
        <f t="shared" si="9"/>
        <v>-0.40837957786006218</v>
      </c>
      <c r="J35" s="84">
        <f t="shared" si="9"/>
        <v>-0.13104934763249776</v>
      </c>
      <c r="K35" s="84">
        <f t="shared" si="9"/>
        <v>0.86894747439662279</v>
      </c>
      <c r="L35" t="s">
        <v>345</v>
      </c>
      <c r="N35" t="s">
        <v>346</v>
      </c>
      <c r="O35" t="s">
        <v>345</v>
      </c>
    </row>
    <row r="36" spans="1:16" x14ac:dyDescent="0.35">
      <c r="D36"/>
      <c r="K36" s="390">
        <f>AVERAGE(F35:K35)</f>
        <v>0.20622297218458926</v>
      </c>
      <c r="M36" t="s">
        <v>347</v>
      </c>
    </row>
    <row r="37" spans="1:16" x14ac:dyDescent="0.35">
      <c r="D37"/>
      <c r="H37" s="377">
        <f t="shared" ref="H37:P37" si="10">H31/G31-1</f>
        <v>0.13149847094801226</v>
      </c>
      <c r="I37" s="377">
        <f t="shared" si="10"/>
        <v>0.10810810810810811</v>
      </c>
      <c r="J37" s="377">
        <f t="shared" si="10"/>
        <v>0</v>
      </c>
      <c r="K37" s="377">
        <f t="shared" si="10"/>
        <v>0.19512195121951215</v>
      </c>
      <c r="L37" s="377">
        <f t="shared" si="10"/>
        <v>0.32653061224489788</v>
      </c>
      <c r="M37" s="377">
        <f t="shared" si="10"/>
        <v>0.13846153846153841</v>
      </c>
      <c r="N37" s="377">
        <f t="shared" si="10"/>
        <v>5.4054054054053946E-2</v>
      </c>
      <c r="O37" s="377">
        <f t="shared" si="10"/>
        <v>0.10256410256410264</v>
      </c>
      <c r="P37" s="377">
        <f t="shared" si="10"/>
        <v>0</v>
      </c>
    </row>
    <row r="38" spans="1:16" x14ac:dyDescent="0.35">
      <c r="D38"/>
    </row>
    <row r="39" spans="1:16" x14ac:dyDescent="0.35">
      <c r="D39"/>
      <c r="L39">
        <f>L29/K29-1</f>
        <v>0.32653061224489788</v>
      </c>
      <c r="M39">
        <f>M29/L29-1</f>
        <v>0.13846153846153841</v>
      </c>
      <c r="N39">
        <f>N29/M29-1</f>
        <v>5.4054054054053946E-2</v>
      </c>
      <c r="O39">
        <f>O29/N29-1</f>
        <v>0.10256410256410264</v>
      </c>
      <c r="P39">
        <f>P29/O29-1</f>
        <v>0</v>
      </c>
    </row>
    <row r="40" spans="1:16" x14ac:dyDescent="0.35">
      <c r="D40"/>
      <c r="M40" s="134">
        <v>2000</v>
      </c>
      <c r="O40">
        <v>2000</v>
      </c>
      <c r="P40">
        <v>3000</v>
      </c>
    </row>
    <row r="41" spans="1:16" x14ac:dyDescent="0.35">
      <c r="D41"/>
    </row>
    <row r="42" spans="1:16" ht="15" thickBot="1" x14ac:dyDescent="0.4">
      <c r="D42"/>
    </row>
    <row r="43" spans="1:16" ht="15" thickBot="1" x14ac:dyDescent="0.4">
      <c r="A43" s="318" t="s">
        <v>348</v>
      </c>
      <c r="B43" s="148">
        <v>-1491</v>
      </c>
      <c r="C43" s="148">
        <v>-859</v>
      </c>
      <c r="D43" s="262">
        <v>-1068</v>
      </c>
      <c r="E43" s="148">
        <v>-1142</v>
      </c>
      <c r="F43" s="148">
        <v>-2673</v>
      </c>
      <c r="G43" s="379">
        <v>-3186</v>
      </c>
      <c r="H43" s="379">
        <v>-2158</v>
      </c>
      <c r="I43" s="379">
        <v>-1265</v>
      </c>
      <c r="J43" s="379">
        <v>-1531</v>
      </c>
      <c r="K43" s="379">
        <v>-1457</v>
      </c>
    </row>
    <row r="44" spans="1:16" ht="15" thickBot="1" x14ac:dyDescent="0.4">
      <c r="A44" s="164" t="s">
        <v>349</v>
      </c>
      <c r="B44" s="146">
        <v>-98</v>
      </c>
      <c r="C44" s="146">
        <v>-3020</v>
      </c>
      <c r="D44" s="262">
        <v>-1059</v>
      </c>
      <c r="E44" s="146">
        <v>-804</v>
      </c>
      <c r="F44" s="146">
        <v>902</v>
      </c>
      <c r="G44" s="379">
        <v>2141</v>
      </c>
      <c r="H44" s="379">
        <v>-4590</v>
      </c>
      <c r="I44" s="379">
        <v>-3537</v>
      </c>
      <c r="J44" s="379">
        <v>-2402</v>
      </c>
      <c r="K44" s="379">
        <v>4930</v>
      </c>
    </row>
    <row r="45" spans="1:16" ht="15" thickBot="1" x14ac:dyDescent="0.4">
      <c r="A45" s="318" t="s">
        <v>350</v>
      </c>
      <c r="B45" s="148">
        <v>21</v>
      </c>
      <c r="C45" s="148">
        <v>54</v>
      </c>
      <c r="D45" s="262">
        <v>44</v>
      </c>
      <c r="E45" s="148">
        <v>50</v>
      </c>
      <c r="F45" s="148">
        <v>121</v>
      </c>
      <c r="G45" s="379">
        <v>94</v>
      </c>
      <c r="H45" s="379">
        <v>114</v>
      </c>
      <c r="I45" s="379">
        <v>150</v>
      </c>
      <c r="J45" s="379">
        <v>134</v>
      </c>
      <c r="K45" s="379">
        <v>137</v>
      </c>
    </row>
    <row r="46" spans="1:16" ht="15" thickBot="1" x14ac:dyDescent="0.4">
      <c r="A46" s="318" t="s">
        <v>351</v>
      </c>
      <c r="B46" s="148">
        <v>30</v>
      </c>
      <c r="C46" s="148">
        <v>25</v>
      </c>
      <c r="D46" s="262">
        <v>14</v>
      </c>
      <c r="E46" s="148">
        <v>2</v>
      </c>
      <c r="F46" s="148">
        <v>325</v>
      </c>
      <c r="G46" s="379">
        <v>1411</v>
      </c>
      <c r="H46" s="379">
        <v>4</v>
      </c>
      <c r="I46" s="379">
        <v>53</v>
      </c>
      <c r="J46" s="379">
        <v>1</v>
      </c>
      <c r="K46" s="379">
        <v>3635</v>
      </c>
      <c r="L46" s="435" t="s">
        <v>352</v>
      </c>
      <c r="M46" s="412">
        <v>2023</v>
      </c>
      <c r="N46" s="412">
        <v>2025</v>
      </c>
    </row>
    <row r="47" spans="1:16" ht="15" thickBot="1" x14ac:dyDescent="0.4">
      <c r="A47" s="318" t="s">
        <v>353</v>
      </c>
      <c r="B47" s="148">
        <v>-428</v>
      </c>
      <c r="C47" s="148">
        <v>0</v>
      </c>
      <c r="D47" s="262">
        <v>0</v>
      </c>
      <c r="E47" s="148" t="s">
        <v>89</v>
      </c>
      <c r="F47" s="148" t="s">
        <v>89</v>
      </c>
      <c r="G47" s="379" t="s">
        <v>89</v>
      </c>
      <c r="H47" s="379" t="s">
        <v>89</v>
      </c>
      <c r="I47" s="379" t="s">
        <v>89</v>
      </c>
      <c r="J47" s="379" t="s">
        <v>89</v>
      </c>
      <c r="K47" s="379" t="s">
        <v>89</v>
      </c>
      <c r="L47" t="s">
        <v>354</v>
      </c>
      <c r="M47" s="412">
        <v>2023</v>
      </c>
      <c r="N47">
        <v>2027</v>
      </c>
    </row>
    <row r="48" spans="1:16" ht="15" thickBot="1" x14ac:dyDescent="0.4">
      <c r="A48" s="318" t="s">
        <v>355</v>
      </c>
      <c r="B48" s="148">
        <v>-29</v>
      </c>
      <c r="C48" s="148">
        <v>-304</v>
      </c>
      <c r="D48" s="262">
        <v>-270</v>
      </c>
      <c r="E48" s="148">
        <v>-10</v>
      </c>
      <c r="F48" s="148">
        <v>-305</v>
      </c>
      <c r="G48" s="379">
        <v>-12</v>
      </c>
      <c r="H48" s="379">
        <v>-3215</v>
      </c>
      <c r="I48" s="379">
        <v>-4881</v>
      </c>
      <c r="J48" s="379">
        <v>-3538</v>
      </c>
      <c r="K48" s="379">
        <v>-43</v>
      </c>
      <c r="L48" s="435" t="s">
        <v>356</v>
      </c>
      <c r="M48" s="412">
        <v>2024</v>
      </c>
      <c r="N48" s="412">
        <v>2026</v>
      </c>
    </row>
    <row r="49" spans="1:11" ht="15" thickBot="1" x14ac:dyDescent="0.4">
      <c r="A49" s="318" t="s">
        <v>357</v>
      </c>
      <c r="B49" s="148">
        <v>308</v>
      </c>
      <c r="C49" s="148">
        <v>-2796</v>
      </c>
      <c r="D49" s="262">
        <v>-847</v>
      </c>
      <c r="E49" s="148">
        <v>-847</v>
      </c>
      <c r="F49" s="148">
        <v>761</v>
      </c>
      <c r="G49" s="379">
        <v>648</v>
      </c>
      <c r="H49" s="379">
        <v>-1492</v>
      </c>
      <c r="I49" s="379">
        <v>1141</v>
      </c>
      <c r="J49" s="379">
        <v>1000</v>
      </c>
      <c r="K49" s="379">
        <v>1201</v>
      </c>
    </row>
    <row r="50" spans="1:11" ht="15" thickBot="1" x14ac:dyDescent="0.4">
      <c r="A50" s="181" t="s">
        <v>358</v>
      </c>
      <c r="B50" s="150">
        <v>-1590</v>
      </c>
      <c r="C50" s="150">
        <v>-3879</v>
      </c>
      <c r="D50" s="262">
        <v>-2127</v>
      </c>
      <c r="E50" s="150">
        <v>-1946</v>
      </c>
      <c r="F50" s="150">
        <v>-1771</v>
      </c>
      <c r="G50" s="379">
        <v>-1045</v>
      </c>
      <c r="H50" s="379">
        <v>-6748</v>
      </c>
      <c r="I50" s="379">
        <v>-4802</v>
      </c>
      <c r="J50" s="379">
        <v>-3933</v>
      </c>
      <c r="K50" s="379">
        <v>3473</v>
      </c>
    </row>
    <row r="51" spans="1:11" x14ac:dyDescent="0.35">
      <c r="A51" s="151"/>
      <c r="B51" s="151"/>
      <c r="C51" s="151"/>
      <c r="D51" s="359"/>
      <c r="E51" s="151"/>
      <c r="F51" s="151"/>
      <c r="G51" s="375"/>
      <c r="H51" s="375"/>
      <c r="I51" s="375"/>
      <c r="J51" s="375"/>
      <c r="K51" s="375"/>
    </row>
    <row r="52" spans="1:11" ht="15" thickBot="1" x14ac:dyDescent="0.4">
      <c r="A52" s="98" t="s">
        <v>359</v>
      </c>
      <c r="B52" s="98"/>
      <c r="C52" s="98"/>
      <c r="D52" s="360"/>
      <c r="E52" s="98"/>
      <c r="F52" s="98"/>
      <c r="G52" s="382"/>
      <c r="H52" s="382"/>
      <c r="I52" s="382"/>
      <c r="J52" s="382"/>
      <c r="K52" s="382"/>
    </row>
    <row r="53" spans="1:11" ht="15" thickBot="1" x14ac:dyDescent="0.4">
      <c r="A53" s="164" t="s">
        <v>360</v>
      </c>
      <c r="B53" s="146" t="s">
        <v>89</v>
      </c>
      <c r="C53" s="146" t="s">
        <v>89</v>
      </c>
      <c r="D53" s="262" t="s">
        <v>89</v>
      </c>
      <c r="E53" s="146">
        <v>-68</v>
      </c>
      <c r="F53" s="146">
        <v>-276</v>
      </c>
      <c r="G53" s="379">
        <v>0</v>
      </c>
      <c r="H53" s="379">
        <v>128</v>
      </c>
      <c r="I53" s="379" t="s">
        <v>89</v>
      </c>
      <c r="J53" s="379">
        <v>219</v>
      </c>
      <c r="K53" s="379">
        <v>338</v>
      </c>
    </row>
    <row r="54" spans="1:11" ht="15" thickBot="1" x14ac:dyDescent="0.4">
      <c r="A54" s="318" t="s">
        <v>361</v>
      </c>
      <c r="B54" s="148" t="s">
        <v>89</v>
      </c>
      <c r="C54" s="148" t="s">
        <v>89</v>
      </c>
      <c r="D54" s="262" t="s">
        <v>89</v>
      </c>
      <c r="E54" s="148">
        <v>-68</v>
      </c>
      <c r="F54" s="148">
        <v>-276</v>
      </c>
      <c r="G54" s="379">
        <v>0</v>
      </c>
      <c r="H54" s="379">
        <v>128</v>
      </c>
      <c r="I54" s="379" t="s">
        <v>89</v>
      </c>
      <c r="J54" s="379">
        <v>219</v>
      </c>
      <c r="K54" s="379">
        <v>338</v>
      </c>
    </row>
    <row r="55" spans="1:11" ht="15" thickBot="1" x14ac:dyDescent="0.4">
      <c r="A55" s="164" t="s">
        <v>362</v>
      </c>
      <c r="B55" s="146">
        <v>-3167</v>
      </c>
      <c r="C55" s="146">
        <v>-4001</v>
      </c>
      <c r="D55" s="262">
        <v>-6002</v>
      </c>
      <c r="E55" s="146">
        <v>-7238</v>
      </c>
      <c r="F55" s="146">
        <v>-5806</v>
      </c>
      <c r="G55" s="379">
        <v>-7256</v>
      </c>
      <c r="H55" s="379">
        <v>-7836</v>
      </c>
      <c r="I55" s="379">
        <v>-7928</v>
      </c>
      <c r="J55" s="379">
        <v>-7621</v>
      </c>
      <c r="K55" s="379">
        <v>-8167</v>
      </c>
    </row>
    <row r="56" spans="1:11" ht="15" thickBot="1" x14ac:dyDescent="0.4">
      <c r="A56" s="318" t="s">
        <v>363</v>
      </c>
      <c r="B56" s="148">
        <v>-3167</v>
      </c>
      <c r="C56" s="148">
        <v>-4001</v>
      </c>
      <c r="D56" s="262">
        <v>-6002</v>
      </c>
      <c r="E56" s="148">
        <v>-7238</v>
      </c>
      <c r="F56" s="148">
        <v>-5806</v>
      </c>
      <c r="G56" s="379">
        <v>-7256</v>
      </c>
      <c r="H56" s="379">
        <v>-7836</v>
      </c>
      <c r="I56" s="379">
        <v>-7928</v>
      </c>
      <c r="J56" s="379">
        <v>-7621</v>
      </c>
      <c r="K56" s="379">
        <v>-8167</v>
      </c>
    </row>
    <row r="57" spans="1:11" ht="15" thickBot="1" x14ac:dyDescent="0.4">
      <c r="A57" s="164" t="s">
        <v>364</v>
      </c>
      <c r="B57" s="146">
        <v>-1</v>
      </c>
      <c r="C57" s="146">
        <v>70</v>
      </c>
      <c r="D57" s="262">
        <v>107</v>
      </c>
      <c r="E57" s="146">
        <v>354</v>
      </c>
      <c r="F57" s="146">
        <v>-6</v>
      </c>
      <c r="G57" s="379">
        <v>-3</v>
      </c>
      <c r="H57" s="379">
        <v>-1</v>
      </c>
      <c r="I57" s="379">
        <v>-14</v>
      </c>
      <c r="J57" s="379">
        <v>99</v>
      </c>
      <c r="K57" s="379">
        <v>0</v>
      </c>
    </row>
    <row r="58" spans="1:11" ht="15" thickBot="1" x14ac:dyDescent="0.4">
      <c r="A58" s="318" t="s">
        <v>365</v>
      </c>
      <c r="B58" s="148">
        <v>0</v>
      </c>
      <c r="C58" s="148">
        <v>70</v>
      </c>
      <c r="D58" s="262">
        <v>107</v>
      </c>
      <c r="E58" s="148">
        <v>355</v>
      </c>
      <c r="F58" s="148">
        <v>0</v>
      </c>
      <c r="G58" s="379" t="s">
        <v>89</v>
      </c>
      <c r="H58" s="379" t="s">
        <v>89</v>
      </c>
      <c r="I58" s="379" t="s">
        <v>89</v>
      </c>
      <c r="J58" s="379">
        <v>99</v>
      </c>
      <c r="K58" s="379">
        <v>0</v>
      </c>
    </row>
    <row r="59" spans="1:11" ht="15" thickBot="1" x14ac:dyDescent="0.4">
      <c r="A59" s="318" t="s">
        <v>366</v>
      </c>
      <c r="B59" s="148">
        <v>-1</v>
      </c>
      <c r="C59" s="148">
        <v>0</v>
      </c>
      <c r="D59" s="262">
        <v>0</v>
      </c>
      <c r="E59" s="148">
        <v>-1</v>
      </c>
      <c r="F59" s="148">
        <v>-6</v>
      </c>
      <c r="G59" s="379">
        <v>-3</v>
      </c>
      <c r="H59" s="379">
        <v>-1</v>
      </c>
      <c r="I59" s="379">
        <v>-14</v>
      </c>
      <c r="J59" s="379">
        <v>0</v>
      </c>
      <c r="K59" s="379" t="s">
        <v>89</v>
      </c>
    </row>
    <row r="60" spans="1:11" ht="15" thickBot="1" x14ac:dyDescent="0.4">
      <c r="A60" s="318" t="s">
        <v>367</v>
      </c>
      <c r="B60" s="148">
        <v>-1</v>
      </c>
      <c r="C60" s="148">
        <v>70</v>
      </c>
      <c r="D60" s="262">
        <v>107</v>
      </c>
      <c r="E60" s="148">
        <v>354</v>
      </c>
      <c r="F60" s="148">
        <v>-6</v>
      </c>
      <c r="G60" s="379">
        <v>-3</v>
      </c>
      <c r="H60" s="379">
        <v>-1</v>
      </c>
      <c r="I60" s="379">
        <v>-14</v>
      </c>
      <c r="J60" s="379">
        <v>99</v>
      </c>
      <c r="K60" s="379">
        <v>0</v>
      </c>
    </row>
    <row r="61" spans="1:11" ht="15" thickBot="1" x14ac:dyDescent="0.4">
      <c r="A61" s="164" t="s">
        <v>368</v>
      </c>
      <c r="B61" s="146">
        <v>0</v>
      </c>
      <c r="C61" s="146">
        <v>1257</v>
      </c>
      <c r="D61" s="262">
        <v>190</v>
      </c>
      <c r="E61" s="146">
        <v>-188</v>
      </c>
      <c r="F61" s="146">
        <v>-1447</v>
      </c>
      <c r="G61" s="379">
        <v>724</v>
      </c>
      <c r="H61" s="379">
        <v>4194</v>
      </c>
      <c r="I61" s="379">
        <v>2016</v>
      </c>
      <c r="J61" s="379">
        <v>2046</v>
      </c>
      <c r="K61" s="379">
        <v>-4531</v>
      </c>
    </row>
    <row r="62" spans="1:11" ht="15" thickBot="1" x14ac:dyDescent="0.4">
      <c r="A62" s="318" t="s">
        <v>369</v>
      </c>
      <c r="B62" s="148">
        <v>0</v>
      </c>
      <c r="C62" s="148">
        <v>1491</v>
      </c>
      <c r="D62" s="262">
        <v>3973</v>
      </c>
      <c r="E62" s="148">
        <v>4072</v>
      </c>
      <c r="F62" s="148">
        <v>2777</v>
      </c>
      <c r="G62" s="379">
        <v>4828</v>
      </c>
      <c r="H62" s="379">
        <v>10427</v>
      </c>
      <c r="I62" s="379">
        <v>7769</v>
      </c>
      <c r="J62" s="379">
        <v>9597</v>
      </c>
      <c r="K62" s="379">
        <v>6258</v>
      </c>
    </row>
    <row r="63" spans="1:11" ht="15" thickBot="1" x14ac:dyDescent="0.4">
      <c r="A63" s="318" t="s">
        <v>370</v>
      </c>
      <c r="B63" s="148">
        <v>0</v>
      </c>
      <c r="C63" s="148">
        <v>-234</v>
      </c>
      <c r="D63" s="262">
        <v>-3783</v>
      </c>
      <c r="E63" s="148">
        <v>-4260</v>
      </c>
      <c r="F63" s="148">
        <v>-4224</v>
      </c>
      <c r="G63" s="379">
        <v>-4104</v>
      </c>
      <c r="H63" s="379">
        <v>-6233</v>
      </c>
      <c r="I63" s="379">
        <v>-5754</v>
      </c>
      <c r="J63" s="379">
        <v>-7551</v>
      </c>
      <c r="K63" s="379">
        <v>-10789</v>
      </c>
    </row>
    <row r="64" spans="1:11" ht="15" thickBot="1" x14ac:dyDescent="0.4">
      <c r="A64" s="181" t="s">
        <v>371</v>
      </c>
      <c r="B64" s="150">
        <v>-3168</v>
      </c>
      <c r="C64" s="150">
        <v>-2673</v>
      </c>
      <c r="D64" s="262">
        <v>-5704</v>
      </c>
      <c r="E64" s="150">
        <v>-7141</v>
      </c>
      <c r="F64" s="150">
        <v>-7535</v>
      </c>
      <c r="G64" s="379">
        <v>-6535</v>
      </c>
      <c r="H64" s="379">
        <v>-3516</v>
      </c>
      <c r="I64" s="379">
        <v>-5927</v>
      </c>
      <c r="J64" s="379">
        <v>-5257</v>
      </c>
      <c r="K64" s="379">
        <v>-12360</v>
      </c>
    </row>
    <row r="65" spans="1:11" ht="15" thickBot="1" x14ac:dyDescent="0.4">
      <c r="A65" s="151"/>
      <c r="B65" s="151"/>
      <c r="C65" s="151"/>
      <c r="D65" s="359"/>
      <c r="E65" s="151"/>
      <c r="F65" s="151"/>
      <c r="G65" s="375"/>
      <c r="H65" s="375"/>
      <c r="I65" s="375"/>
      <c r="J65" s="375"/>
      <c r="K65" s="375"/>
    </row>
    <row r="66" spans="1:11" ht="15" thickBot="1" x14ac:dyDescent="0.4">
      <c r="A66" s="181" t="s">
        <v>372</v>
      </c>
      <c r="B66" s="150">
        <v>-1</v>
      </c>
      <c r="C66" s="150">
        <v>0</v>
      </c>
      <c r="D66" s="262">
        <v>3</v>
      </c>
      <c r="E66" s="150">
        <v>-6</v>
      </c>
      <c r="F66" s="150">
        <v>13</v>
      </c>
      <c r="G66" s="379">
        <v>-1</v>
      </c>
      <c r="H66" s="379">
        <v>-3</v>
      </c>
      <c r="I66" s="379">
        <v>-6</v>
      </c>
      <c r="J66" s="379">
        <v>-4</v>
      </c>
      <c r="K66" s="379">
        <v>12</v>
      </c>
    </row>
    <row r="67" spans="1:11" ht="15" thickBot="1" x14ac:dyDescent="0.4">
      <c r="A67" s="181" t="s">
        <v>373</v>
      </c>
      <c r="B67" s="150">
        <v>1494</v>
      </c>
      <c r="C67" s="150">
        <v>-1218</v>
      </c>
      <c r="D67" s="262">
        <v>-169</v>
      </c>
      <c r="E67" s="150">
        <v>-703</v>
      </c>
      <c r="F67" s="150">
        <v>308</v>
      </c>
      <c r="G67" s="379">
        <v>559</v>
      </c>
      <c r="H67" s="379">
        <v>1143</v>
      </c>
      <c r="I67" s="379">
        <v>-554</v>
      </c>
      <c r="J67" s="379">
        <v>237</v>
      </c>
      <c r="K67" s="379">
        <v>-49</v>
      </c>
    </row>
    <row r="68" spans="1:11" ht="15" thickBot="1" x14ac:dyDescent="0.4">
      <c r="A68" s="151"/>
      <c r="B68" s="151"/>
      <c r="C68" s="151"/>
      <c r="D68" s="359"/>
      <c r="E68" s="151"/>
      <c r="F68" s="151"/>
      <c r="G68" s="375"/>
      <c r="H68" s="375"/>
      <c r="I68" s="375"/>
      <c r="J68" s="375"/>
      <c r="K68" s="375"/>
    </row>
    <row r="69" spans="1:11" ht="15" thickBot="1" x14ac:dyDescent="0.4">
      <c r="A69" s="181" t="s">
        <v>374</v>
      </c>
      <c r="B69" s="150">
        <v>1252</v>
      </c>
      <c r="C69" s="150">
        <v>2746</v>
      </c>
      <c r="D69" s="262">
        <v>1528</v>
      </c>
      <c r="E69" s="150">
        <v>1359</v>
      </c>
      <c r="F69" s="150">
        <v>655</v>
      </c>
      <c r="G69" s="379">
        <v>963</v>
      </c>
      <c r="H69" s="379">
        <v>1523</v>
      </c>
      <c r="I69" s="379">
        <v>2665</v>
      </c>
      <c r="J69" s="379">
        <v>2111</v>
      </c>
      <c r="K69" s="379">
        <v>2349</v>
      </c>
    </row>
    <row r="70" spans="1:11" ht="15" thickBot="1" x14ac:dyDescent="0.4">
      <c r="A70" s="181" t="s">
        <v>375</v>
      </c>
      <c r="B70" s="150">
        <v>2746</v>
      </c>
      <c r="C70" s="150">
        <v>1528</v>
      </c>
      <c r="D70" s="262">
        <v>1359</v>
      </c>
      <c r="E70" s="150">
        <v>655</v>
      </c>
      <c r="F70" s="150">
        <v>963</v>
      </c>
      <c r="G70" s="379">
        <v>1523</v>
      </c>
      <c r="H70" s="379">
        <v>2665</v>
      </c>
      <c r="I70" s="379">
        <v>2111</v>
      </c>
      <c r="J70" s="379">
        <v>2349</v>
      </c>
      <c r="K70" s="379">
        <v>2300</v>
      </c>
    </row>
    <row r="71" spans="1:11" ht="15" thickBot="1" x14ac:dyDescent="0.4">
      <c r="A71" s="181" t="s">
        <v>376</v>
      </c>
      <c r="B71" s="150">
        <v>0</v>
      </c>
      <c r="C71" s="150">
        <v>35</v>
      </c>
      <c r="D71" s="262">
        <v>27</v>
      </c>
      <c r="E71" s="150">
        <v>34</v>
      </c>
      <c r="F71" s="150">
        <v>65</v>
      </c>
      <c r="G71" s="379">
        <v>111</v>
      </c>
      <c r="H71" s="379">
        <v>228</v>
      </c>
      <c r="I71" s="379">
        <v>213</v>
      </c>
      <c r="J71" s="379">
        <v>98</v>
      </c>
      <c r="K71" s="379">
        <v>141</v>
      </c>
    </row>
    <row r="72" spans="1:11" ht="15" thickBot="1" x14ac:dyDescent="0.4">
      <c r="A72" s="181" t="s">
        <v>377</v>
      </c>
      <c r="B72" s="150">
        <v>1400</v>
      </c>
      <c r="C72" s="150">
        <v>1522</v>
      </c>
      <c r="D72" s="262">
        <v>1806</v>
      </c>
      <c r="E72" s="150">
        <v>1771</v>
      </c>
      <c r="F72" s="150">
        <v>1934</v>
      </c>
      <c r="G72" s="379">
        <v>1880</v>
      </c>
      <c r="H72" s="379">
        <v>2034</v>
      </c>
      <c r="I72" s="379">
        <v>2286</v>
      </c>
      <c r="J72" s="379">
        <v>2357</v>
      </c>
      <c r="K72" s="379">
        <v>1975</v>
      </c>
    </row>
    <row r="73" spans="1:11" ht="15" thickBot="1" x14ac:dyDescent="0.4">
      <c r="A73" s="181" t="s">
        <v>378</v>
      </c>
      <c r="B73" s="150" t="s">
        <v>89</v>
      </c>
      <c r="C73" s="150" t="s">
        <v>89</v>
      </c>
      <c r="D73" s="262" t="s">
        <v>89</v>
      </c>
      <c r="E73" s="150" t="s">
        <v>89</v>
      </c>
      <c r="F73" s="150" t="s">
        <v>89</v>
      </c>
      <c r="G73" s="379" t="s">
        <v>89</v>
      </c>
      <c r="H73" s="379" t="s">
        <v>89</v>
      </c>
      <c r="I73" s="379" t="s">
        <v>89</v>
      </c>
      <c r="J73" s="379" t="s">
        <v>89</v>
      </c>
      <c r="K73" s="379" t="s">
        <v>89</v>
      </c>
    </row>
    <row r="74" spans="1:11" ht="15" thickBot="1" x14ac:dyDescent="0.4">
      <c r="A74" s="181" t="s">
        <v>379</v>
      </c>
      <c r="B74" s="150" t="s">
        <v>89</v>
      </c>
      <c r="C74" s="150" t="s">
        <v>89</v>
      </c>
      <c r="D74" s="262" t="s">
        <v>89</v>
      </c>
      <c r="E74" s="150" t="s">
        <v>89</v>
      </c>
      <c r="F74" s="150" t="s">
        <v>89</v>
      </c>
      <c r="G74" s="379" t="s">
        <v>89</v>
      </c>
      <c r="H74" s="379" t="s">
        <v>89</v>
      </c>
      <c r="I74" s="379" t="s">
        <v>89</v>
      </c>
      <c r="J74" s="379" t="s">
        <v>89</v>
      </c>
      <c r="K74" s="379" t="s">
        <v>89</v>
      </c>
    </row>
    <row r="75" spans="1:11" ht="15" thickBot="1" x14ac:dyDescent="0.4">
      <c r="A75" s="181" t="s">
        <v>380</v>
      </c>
      <c r="B75" s="150" t="s">
        <v>89</v>
      </c>
      <c r="C75" s="150" t="s">
        <v>89</v>
      </c>
      <c r="D75" s="262" t="s">
        <v>89</v>
      </c>
      <c r="E75" s="150" t="s">
        <v>89</v>
      </c>
      <c r="F75" s="150" t="s">
        <v>89</v>
      </c>
      <c r="G75" s="379" t="s">
        <v>89</v>
      </c>
      <c r="H75" s="379" t="s">
        <v>89</v>
      </c>
      <c r="I75" s="379" t="s">
        <v>89</v>
      </c>
      <c r="J75" s="379" t="s">
        <v>89</v>
      </c>
      <c r="K75" s="379" t="s">
        <v>89</v>
      </c>
    </row>
    <row r="76" spans="1:11" ht="15" thickBot="1" x14ac:dyDescent="0.4">
      <c r="A76" s="181" t="s">
        <v>381</v>
      </c>
      <c r="B76" s="150" t="s">
        <v>89</v>
      </c>
      <c r="C76" s="150" t="s">
        <v>89</v>
      </c>
      <c r="D76" s="262" t="s">
        <v>89</v>
      </c>
      <c r="E76" s="150" t="s">
        <v>89</v>
      </c>
      <c r="F76" s="150" t="s">
        <v>89</v>
      </c>
      <c r="G76" s="379" t="s">
        <v>89</v>
      </c>
      <c r="H76" s="379" t="s">
        <v>89</v>
      </c>
      <c r="I76" s="379" t="s">
        <v>89</v>
      </c>
      <c r="J76" s="379" t="s">
        <v>89</v>
      </c>
      <c r="K76" s="379" t="s">
        <v>89</v>
      </c>
    </row>
    <row r="77" spans="1:11" ht="15" thickBot="1" x14ac:dyDescent="0.4">
      <c r="A77" s="181" t="s">
        <v>382</v>
      </c>
      <c r="B77" s="150" t="s">
        <v>89</v>
      </c>
      <c r="C77" s="150" t="s">
        <v>89</v>
      </c>
      <c r="D77" s="262" t="s">
        <v>89</v>
      </c>
      <c r="E77" s="150" t="s">
        <v>89</v>
      </c>
      <c r="F77" s="150" t="s">
        <v>89</v>
      </c>
      <c r="G77" s="379" t="s">
        <v>89</v>
      </c>
      <c r="H77" s="379" t="s">
        <v>89</v>
      </c>
      <c r="I77" s="379" t="s">
        <v>89</v>
      </c>
      <c r="J77" s="379" t="s">
        <v>89</v>
      </c>
      <c r="K77" s="379" t="s">
        <v>89</v>
      </c>
    </row>
    <row r="78" spans="1:11" ht="15" thickBot="1" x14ac:dyDescent="0.4">
      <c r="A78" s="181" t="s">
        <v>383</v>
      </c>
      <c r="B78" s="150">
        <v>-79</v>
      </c>
      <c r="C78" s="150">
        <v>-659</v>
      </c>
      <c r="D78" s="262">
        <v>240</v>
      </c>
      <c r="E78" s="150">
        <v>-794</v>
      </c>
      <c r="F78" s="150">
        <v>-332</v>
      </c>
      <c r="G78" s="379">
        <v>-1740</v>
      </c>
      <c r="H78" s="379">
        <v>388</v>
      </c>
      <c r="I78" s="379">
        <v>-1174</v>
      </c>
      <c r="J78" s="379">
        <v>-1293</v>
      </c>
      <c r="K78" s="379">
        <v>104</v>
      </c>
    </row>
    <row r="79" spans="1:11" ht="15" thickBot="1" x14ac:dyDescent="0.4">
      <c r="A79" s="181" t="s">
        <v>384</v>
      </c>
      <c r="B79" s="150" t="s">
        <v>89</v>
      </c>
      <c r="C79" s="150" t="s">
        <v>89</v>
      </c>
      <c r="D79" s="262" t="s">
        <v>89</v>
      </c>
      <c r="E79" s="150" t="s">
        <v>89</v>
      </c>
      <c r="F79" s="150" t="s">
        <v>89</v>
      </c>
      <c r="G79" s="379" t="s">
        <v>89</v>
      </c>
      <c r="H79" s="379" t="s">
        <v>89</v>
      </c>
      <c r="I79" s="379" t="s">
        <v>89</v>
      </c>
      <c r="J79" s="379" t="s">
        <v>89</v>
      </c>
      <c r="K79" s="379" t="s">
        <v>89</v>
      </c>
    </row>
    <row r="80" spans="1:11" ht="15" thickBot="1" x14ac:dyDescent="0.4">
      <c r="A80" s="181" t="s">
        <v>385</v>
      </c>
      <c r="B80" s="150" t="s">
        <v>89</v>
      </c>
      <c r="C80" s="150" t="s">
        <v>89</v>
      </c>
      <c r="D80" s="262" t="s">
        <v>89</v>
      </c>
      <c r="E80" s="150" t="s">
        <v>89</v>
      </c>
      <c r="F80" s="150" t="s">
        <v>89</v>
      </c>
      <c r="G80" s="379" t="s">
        <v>89</v>
      </c>
      <c r="H80" s="379" t="s">
        <v>89</v>
      </c>
      <c r="I80" s="379" t="s">
        <v>89</v>
      </c>
      <c r="J80" s="379" t="s">
        <v>89</v>
      </c>
      <c r="K80" s="379" t="s">
        <v>89</v>
      </c>
    </row>
    <row r="81" spans="1:11" x14ac:dyDescent="0.35">
      <c r="A81" s="181" t="s">
        <v>386</v>
      </c>
      <c r="B81" s="150" t="s">
        <v>89</v>
      </c>
      <c r="C81" s="150" t="s">
        <v>89</v>
      </c>
      <c r="D81" s="262" t="s">
        <v>89</v>
      </c>
      <c r="E81" s="150" t="s">
        <v>89</v>
      </c>
      <c r="F81" s="150" t="s">
        <v>89</v>
      </c>
      <c r="G81" s="379" t="s">
        <v>89</v>
      </c>
      <c r="H81" s="379" t="s">
        <v>89</v>
      </c>
      <c r="I81" s="379" t="s">
        <v>89</v>
      </c>
      <c r="J81" s="379" t="s">
        <v>89</v>
      </c>
      <c r="K81" s="379" t="s">
        <v>89</v>
      </c>
    </row>
    <row r="82" spans="1:11" ht="15" thickBot="1" x14ac:dyDescent="0.4">
      <c r="A82" s="383"/>
    </row>
    <row r="83" spans="1:11" ht="15" thickBot="1" x14ac:dyDescent="0.4">
      <c r="A83" s="100" t="s">
        <v>387</v>
      </c>
      <c r="B83" s="150">
        <v>4760</v>
      </c>
      <c r="C83" s="150">
        <v>4476</v>
      </c>
      <c r="D83" s="262">
        <v>6591</v>
      </c>
      <c r="E83" s="150">
        <v>7248</v>
      </c>
      <c r="F83" s="150">
        <v>6929</v>
      </c>
      <c r="G83" s="379">
        <v>4954</v>
      </c>
      <c r="H83" s="379">
        <v>9252</v>
      </c>
      <c r="I83" s="379">
        <v>8915</v>
      </c>
      <c r="J83" s="379">
        <v>7901</v>
      </c>
      <c r="K83" s="379">
        <v>7370</v>
      </c>
    </row>
    <row r="84" spans="1:11" x14ac:dyDescent="0.35">
      <c r="A84" s="151"/>
      <c r="B84" s="151"/>
      <c r="C84" s="151"/>
      <c r="D84" s="359"/>
      <c r="E84" s="151"/>
      <c r="F84" s="151"/>
      <c r="G84" s="375"/>
      <c r="H84" s="375"/>
      <c r="I84" s="375"/>
      <c r="J84" s="375"/>
      <c r="K84" s="37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3805-ED9F-49CD-B459-B8F3D711EE08}">
  <dimension ref="A1:N228"/>
  <sheetViews>
    <sheetView topLeftCell="A107" zoomScale="55" zoomScaleNormal="55" workbookViewId="0">
      <selection activeCell="H87" sqref="H87:N87"/>
    </sheetView>
  </sheetViews>
  <sheetFormatPr defaultRowHeight="14.5" x14ac:dyDescent="0.35"/>
  <cols>
    <col min="1" max="1" width="36.54296875" bestFit="1" customWidth="1"/>
    <col min="2" max="6" width="28.54296875" bestFit="1" customWidth="1"/>
    <col min="8" max="8" width="10.81640625" bestFit="1" customWidth="1"/>
    <col min="9" max="9" width="20.81640625" customWidth="1"/>
    <col min="10" max="14" width="36.7265625" customWidth="1"/>
  </cols>
  <sheetData>
    <row r="1" spans="1:14" x14ac:dyDescent="0.35">
      <c r="A1" s="99" t="s">
        <v>388</v>
      </c>
    </row>
    <row r="3" spans="1:14" x14ac:dyDescent="0.35">
      <c r="A3" s="100" t="s">
        <v>389</v>
      </c>
    </row>
    <row r="4" spans="1:14" ht="15" thickBot="1" x14ac:dyDescent="0.4">
      <c r="A4" s="100" t="s">
        <v>390</v>
      </c>
    </row>
    <row r="5" spans="1:14" ht="15" thickBot="1" x14ac:dyDescent="0.4">
      <c r="A5" s="175"/>
      <c r="B5" s="102">
        <v>2018</v>
      </c>
      <c r="C5" s="102">
        <v>2019</v>
      </c>
      <c r="D5" s="102">
        <v>2020</v>
      </c>
      <c r="E5" s="102">
        <v>2021</v>
      </c>
      <c r="F5" s="102">
        <v>2022</v>
      </c>
      <c r="H5" s="516"/>
      <c r="I5" s="517"/>
      <c r="J5" s="102">
        <v>2018</v>
      </c>
      <c r="K5" s="102">
        <v>2019</v>
      </c>
      <c r="L5" s="102">
        <v>2020</v>
      </c>
      <c r="M5" s="102">
        <v>2021</v>
      </c>
      <c r="N5" s="102">
        <v>2022</v>
      </c>
    </row>
    <row r="6" spans="1:14" ht="14.25" customHeight="1" thickBot="1" x14ac:dyDescent="0.4">
      <c r="A6" s="182" t="s">
        <v>312</v>
      </c>
      <c r="B6" s="180" t="s">
        <v>318</v>
      </c>
      <c r="C6" s="178" t="s">
        <v>319</v>
      </c>
      <c r="D6" s="178" t="s">
        <v>319</v>
      </c>
      <c r="E6" s="178" t="s">
        <v>320</v>
      </c>
      <c r="F6" s="179" t="s">
        <v>321</v>
      </c>
      <c r="H6" s="518" t="s">
        <v>312</v>
      </c>
      <c r="I6" s="519"/>
      <c r="J6" s="180" t="s">
        <v>318</v>
      </c>
      <c r="K6" s="178" t="s">
        <v>319</v>
      </c>
      <c r="L6" s="178" t="s">
        <v>319</v>
      </c>
      <c r="M6" s="178" t="s">
        <v>320</v>
      </c>
      <c r="N6" s="179" t="s">
        <v>321</v>
      </c>
    </row>
    <row r="7" spans="1:14" ht="15" thickBot="1" x14ac:dyDescent="0.4">
      <c r="A7" s="160" t="s">
        <v>209</v>
      </c>
      <c r="B7" s="145" t="s">
        <v>327</v>
      </c>
      <c r="C7" s="145" t="s">
        <v>328</v>
      </c>
      <c r="D7" s="145" t="s">
        <v>210</v>
      </c>
      <c r="E7" s="145" t="s">
        <v>211</v>
      </c>
      <c r="F7" s="145" t="s">
        <v>212</v>
      </c>
      <c r="H7" s="520" t="s">
        <v>209</v>
      </c>
      <c r="I7" s="521"/>
      <c r="J7" s="145" t="s">
        <v>327</v>
      </c>
      <c r="K7" s="145" t="s">
        <v>328</v>
      </c>
      <c r="L7" s="145" t="s">
        <v>210</v>
      </c>
      <c r="M7" s="145" t="s">
        <v>211</v>
      </c>
      <c r="N7" s="145" t="s">
        <v>212</v>
      </c>
    </row>
    <row r="8" spans="1:14" ht="15" thickBot="1" x14ac:dyDescent="0.4">
      <c r="A8" s="160" t="s">
        <v>391</v>
      </c>
      <c r="B8" s="145" t="s">
        <v>392</v>
      </c>
      <c r="C8" s="145" t="s">
        <v>392</v>
      </c>
      <c r="D8" s="145" t="s">
        <v>392</v>
      </c>
      <c r="E8" s="145" t="s">
        <v>392</v>
      </c>
      <c r="F8" s="145" t="s">
        <v>392</v>
      </c>
      <c r="H8" s="514" t="s">
        <v>393</v>
      </c>
      <c r="I8" s="515"/>
      <c r="J8" s="145" t="s">
        <v>394</v>
      </c>
      <c r="K8" s="145" t="s">
        <v>394</v>
      </c>
      <c r="L8" s="145" t="s">
        <v>394</v>
      </c>
      <c r="M8" s="145" t="s">
        <v>394</v>
      </c>
      <c r="N8" s="145" t="s">
        <v>394</v>
      </c>
    </row>
    <row r="9" spans="1:14" ht="15" thickBot="1" x14ac:dyDescent="0.4">
      <c r="A9" s="160" t="s">
        <v>395</v>
      </c>
      <c r="B9" s="145" t="s">
        <v>327</v>
      </c>
      <c r="C9" s="145" t="s">
        <v>328</v>
      </c>
      <c r="D9" s="145" t="s">
        <v>210</v>
      </c>
      <c r="E9" s="145" t="s">
        <v>211</v>
      </c>
      <c r="F9" s="145" t="s">
        <v>212</v>
      </c>
      <c r="H9" s="514" t="s">
        <v>391</v>
      </c>
      <c r="I9" s="515"/>
      <c r="J9" s="145" t="s">
        <v>392</v>
      </c>
      <c r="K9" s="145" t="s">
        <v>392</v>
      </c>
      <c r="L9" s="145" t="s">
        <v>392</v>
      </c>
      <c r="M9" s="145" t="s">
        <v>392</v>
      </c>
      <c r="N9" s="145" t="s">
        <v>392</v>
      </c>
    </row>
    <row r="10" spans="1:14" ht="15" thickBot="1" x14ac:dyDescent="0.4">
      <c r="A10" s="160" t="s">
        <v>396</v>
      </c>
      <c r="B10" s="145" t="s">
        <v>397</v>
      </c>
      <c r="C10" s="145" t="s">
        <v>397</v>
      </c>
      <c r="D10" s="145" t="s">
        <v>397</v>
      </c>
      <c r="E10" s="145" t="s">
        <v>397</v>
      </c>
      <c r="F10" s="145" t="s">
        <v>397</v>
      </c>
      <c r="H10" s="514" t="s">
        <v>395</v>
      </c>
      <c r="I10" s="515"/>
      <c r="J10" s="145" t="s">
        <v>327</v>
      </c>
      <c r="K10" s="145" t="s">
        <v>328</v>
      </c>
      <c r="L10" s="145" t="s">
        <v>210</v>
      </c>
      <c r="M10" s="145" t="s">
        <v>211</v>
      </c>
      <c r="N10" s="145" t="s">
        <v>212</v>
      </c>
    </row>
    <row r="11" spans="1:14" ht="15" thickBot="1" x14ac:dyDescent="0.4">
      <c r="A11" s="160" t="s">
        <v>398</v>
      </c>
      <c r="B11" s="145" t="s">
        <v>399</v>
      </c>
      <c r="C11" s="145" t="s">
        <v>400</v>
      </c>
      <c r="D11" s="145" t="s">
        <v>400</v>
      </c>
      <c r="E11" s="145" t="s">
        <v>400</v>
      </c>
      <c r="F11" s="145" t="s">
        <v>401</v>
      </c>
      <c r="H11" s="514" t="s">
        <v>396</v>
      </c>
      <c r="I11" s="515"/>
      <c r="J11" s="145" t="s">
        <v>397</v>
      </c>
      <c r="K11" s="145" t="s">
        <v>397</v>
      </c>
      <c r="L11" s="145" t="s">
        <v>397</v>
      </c>
      <c r="M11" s="145" t="s">
        <v>397</v>
      </c>
      <c r="N11" s="145" t="s">
        <v>397</v>
      </c>
    </row>
    <row r="12" spans="1:14" ht="15" thickBot="1" x14ac:dyDescent="0.4">
      <c r="A12" s="160" t="s">
        <v>402</v>
      </c>
      <c r="B12" s="145" t="s">
        <v>403</v>
      </c>
      <c r="C12" s="145" t="s">
        <v>403</v>
      </c>
      <c r="D12" s="145" t="s">
        <v>403</v>
      </c>
      <c r="E12" s="145" t="s">
        <v>403</v>
      </c>
      <c r="F12" s="145" t="s">
        <v>403</v>
      </c>
      <c r="H12" s="514" t="s">
        <v>398</v>
      </c>
      <c r="I12" s="515"/>
      <c r="J12" s="145" t="s">
        <v>404</v>
      </c>
      <c r="K12" s="145" t="s">
        <v>400</v>
      </c>
      <c r="L12" s="145" t="s">
        <v>400</v>
      </c>
      <c r="M12" s="145" t="s">
        <v>400</v>
      </c>
      <c r="N12" s="145" t="s">
        <v>401</v>
      </c>
    </row>
    <row r="13" spans="1:14" ht="15" thickBot="1" x14ac:dyDescent="0.4">
      <c r="A13" s="160" t="s">
        <v>405</v>
      </c>
      <c r="B13" s="145" t="s">
        <v>406</v>
      </c>
      <c r="C13" s="145" t="s">
        <v>406</v>
      </c>
      <c r="D13" s="145" t="s">
        <v>406</v>
      </c>
      <c r="E13" s="145" t="s">
        <v>406</v>
      </c>
      <c r="F13" s="145" t="s">
        <v>406</v>
      </c>
      <c r="H13" s="514" t="s">
        <v>402</v>
      </c>
      <c r="I13" s="515"/>
      <c r="J13" s="145" t="s">
        <v>403</v>
      </c>
      <c r="K13" s="145" t="s">
        <v>403</v>
      </c>
      <c r="L13" s="145" t="s">
        <v>403</v>
      </c>
      <c r="M13" s="145" t="s">
        <v>403</v>
      </c>
      <c r="N13" s="145" t="s">
        <v>403</v>
      </c>
    </row>
    <row r="14" spans="1:14" ht="15" thickBot="1" x14ac:dyDescent="0.4">
      <c r="A14" s="160" t="s">
        <v>407</v>
      </c>
      <c r="B14" s="145" t="s">
        <v>408</v>
      </c>
      <c r="C14" s="145" t="s">
        <v>409</v>
      </c>
      <c r="D14" s="145" t="s">
        <v>410</v>
      </c>
      <c r="E14" s="145" t="s">
        <v>411</v>
      </c>
      <c r="F14" s="145" t="s">
        <v>412</v>
      </c>
      <c r="H14" s="514" t="s">
        <v>405</v>
      </c>
      <c r="I14" s="515"/>
      <c r="J14" s="145" t="s">
        <v>406</v>
      </c>
      <c r="K14" s="145" t="s">
        <v>406</v>
      </c>
      <c r="L14" s="145" t="s">
        <v>406</v>
      </c>
      <c r="M14" s="145" t="s">
        <v>406</v>
      </c>
      <c r="N14" s="145" t="s">
        <v>406</v>
      </c>
    </row>
    <row r="15" spans="1:14" ht="15" thickBot="1" x14ac:dyDescent="0.4">
      <c r="A15" s="160" t="s">
        <v>413</v>
      </c>
      <c r="B15" s="145" t="s">
        <v>414</v>
      </c>
      <c r="C15" s="145" t="s">
        <v>415</v>
      </c>
      <c r="D15" s="145" t="s">
        <v>416</v>
      </c>
      <c r="E15" s="145" t="s">
        <v>417</v>
      </c>
      <c r="F15" s="145" t="s">
        <v>418</v>
      </c>
      <c r="H15" s="514" t="s">
        <v>407</v>
      </c>
      <c r="I15" s="515"/>
      <c r="J15" s="145" t="s">
        <v>408</v>
      </c>
      <c r="K15" s="145" t="s">
        <v>409</v>
      </c>
      <c r="L15" s="145" t="s">
        <v>410</v>
      </c>
      <c r="M15" s="145" t="s">
        <v>411</v>
      </c>
      <c r="N15" s="145" t="s">
        <v>412</v>
      </c>
    </row>
    <row r="16" spans="1:14" ht="15" thickBot="1" x14ac:dyDescent="0.4">
      <c r="A16" s="160" t="s">
        <v>419</v>
      </c>
      <c r="B16" s="145" t="s">
        <v>420</v>
      </c>
      <c r="C16" s="145" t="s">
        <v>420</v>
      </c>
      <c r="D16" s="145" t="s">
        <v>420</v>
      </c>
      <c r="E16" s="145" t="s">
        <v>420</v>
      </c>
      <c r="F16" s="145" t="s">
        <v>420</v>
      </c>
      <c r="H16" s="514" t="s">
        <v>413</v>
      </c>
      <c r="I16" s="515"/>
      <c r="J16" s="145" t="s">
        <v>414</v>
      </c>
      <c r="K16" s="145" t="s">
        <v>415</v>
      </c>
      <c r="L16" s="145" t="s">
        <v>416</v>
      </c>
      <c r="M16" s="145" t="s">
        <v>417</v>
      </c>
      <c r="N16" s="145" t="s">
        <v>418</v>
      </c>
    </row>
    <row r="17" spans="1:14" ht="15" thickBot="1" x14ac:dyDescent="0.4">
      <c r="A17" s="160" t="s">
        <v>421</v>
      </c>
      <c r="B17" s="145" t="s">
        <v>422</v>
      </c>
      <c r="C17" s="145" t="s">
        <v>422</v>
      </c>
      <c r="D17" s="145" t="s">
        <v>422</v>
      </c>
      <c r="E17" s="145" t="s">
        <v>422</v>
      </c>
      <c r="F17" s="145" t="s">
        <v>422</v>
      </c>
      <c r="H17" s="514" t="s">
        <v>419</v>
      </c>
      <c r="I17" s="515"/>
      <c r="J17" s="145" t="s">
        <v>420</v>
      </c>
      <c r="K17" s="145" t="s">
        <v>420</v>
      </c>
      <c r="L17" s="145" t="s">
        <v>420</v>
      </c>
      <c r="M17" s="145" t="s">
        <v>420</v>
      </c>
      <c r="N17" s="145" t="s">
        <v>420</v>
      </c>
    </row>
    <row r="18" spans="1:14" ht="15" thickBot="1" x14ac:dyDescent="0.4">
      <c r="A18" s="160" t="s">
        <v>423</v>
      </c>
      <c r="B18" s="145" t="s">
        <v>424</v>
      </c>
      <c r="C18" s="145" t="s">
        <v>424</v>
      </c>
      <c r="D18" s="145" t="s">
        <v>424</v>
      </c>
      <c r="E18" s="145" t="s">
        <v>424</v>
      </c>
      <c r="F18" s="145" t="s">
        <v>424</v>
      </c>
      <c r="H18" s="514" t="s">
        <v>421</v>
      </c>
      <c r="I18" s="515"/>
      <c r="J18" s="145" t="s">
        <v>422</v>
      </c>
      <c r="K18" s="145" t="s">
        <v>422</v>
      </c>
      <c r="L18" s="145" t="s">
        <v>422</v>
      </c>
      <c r="M18" s="145" t="s">
        <v>422</v>
      </c>
      <c r="N18" s="145" t="s">
        <v>422</v>
      </c>
    </row>
    <row r="19" spans="1:14" ht="15" thickBot="1" x14ac:dyDescent="0.4">
      <c r="A19" s="160" t="s">
        <v>425</v>
      </c>
      <c r="B19" s="145" t="s">
        <v>426</v>
      </c>
      <c r="C19" s="145" t="s">
        <v>426</v>
      </c>
      <c r="D19" s="145" t="s">
        <v>426</v>
      </c>
      <c r="E19" s="145" t="s">
        <v>426</v>
      </c>
      <c r="F19" s="145" t="s">
        <v>426</v>
      </c>
      <c r="H19" s="514" t="s">
        <v>423</v>
      </c>
      <c r="I19" s="515"/>
      <c r="J19" s="145" t="s">
        <v>424</v>
      </c>
      <c r="K19" s="145" t="s">
        <v>424</v>
      </c>
      <c r="L19" s="145" t="s">
        <v>424</v>
      </c>
      <c r="M19" s="145" t="s">
        <v>424</v>
      </c>
      <c r="N19" s="145" t="s">
        <v>424</v>
      </c>
    </row>
    <row r="20" spans="1:14" ht="15" thickBot="1" x14ac:dyDescent="0.4">
      <c r="A20" s="160" t="s">
        <v>427</v>
      </c>
      <c r="B20" s="145" t="s">
        <v>428</v>
      </c>
      <c r="C20" s="145" t="s">
        <v>428</v>
      </c>
      <c r="D20" s="145" t="s">
        <v>428</v>
      </c>
      <c r="E20" s="145" t="s">
        <v>428</v>
      </c>
      <c r="F20" s="145" t="s">
        <v>428</v>
      </c>
      <c r="H20" s="514" t="s">
        <v>425</v>
      </c>
      <c r="I20" s="515"/>
      <c r="J20" s="145" t="s">
        <v>426</v>
      </c>
      <c r="K20" s="145" t="s">
        <v>426</v>
      </c>
      <c r="L20" s="145" t="s">
        <v>426</v>
      </c>
      <c r="M20" s="145" t="s">
        <v>426</v>
      </c>
      <c r="N20" s="145" t="s">
        <v>426</v>
      </c>
    </row>
    <row r="21" spans="1:14" ht="15" thickBot="1" x14ac:dyDescent="0.4">
      <c r="A21" s="160" t="s">
        <v>429</v>
      </c>
      <c r="B21" s="145" t="s">
        <v>430</v>
      </c>
      <c r="C21" s="145" t="s">
        <v>430</v>
      </c>
      <c r="D21" s="145" t="s">
        <v>430</v>
      </c>
      <c r="E21" s="145" t="s">
        <v>430</v>
      </c>
      <c r="F21" s="145" t="s">
        <v>430</v>
      </c>
      <c r="H21" s="514" t="s">
        <v>427</v>
      </c>
      <c r="I21" s="515"/>
      <c r="J21" s="145" t="s">
        <v>428</v>
      </c>
      <c r="K21" s="145" t="s">
        <v>428</v>
      </c>
      <c r="L21" s="145" t="s">
        <v>428</v>
      </c>
      <c r="M21" s="145" t="s">
        <v>428</v>
      </c>
      <c r="N21" s="145" t="s">
        <v>428</v>
      </c>
    </row>
    <row r="22" spans="1:14" ht="12" customHeight="1" thickBot="1" x14ac:dyDescent="0.4">
      <c r="A22" s="98" t="s">
        <v>257</v>
      </c>
      <c r="B22" s="98"/>
      <c r="C22" s="98"/>
      <c r="D22" s="98"/>
      <c r="E22" s="98"/>
      <c r="F22" s="98"/>
      <c r="H22" s="505" t="s">
        <v>13</v>
      </c>
      <c r="I22" s="506"/>
      <c r="J22" s="146">
        <v>52561950</v>
      </c>
      <c r="K22" s="146">
        <v>56318123</v>
      </c>
      <c r="L22" s="146">
        <v>59636286</v>
      </c>
      <c r="M22" s="146">
        <v>60919165</v>
      </c>
      <c r="N22" s="146">
        <v>59956247</v>
      </c>
    </row>
    <row r="23" spans="1:14" ht="15" thickBot="1" x14ac:dyDescent="0.4">
      <c r="A23" s="164" t="s">
        <v>258</v>
      </c>
      <c r="B23" s="146">
        <v>10196537</v>
      </c>
      <c r="C23" s="146">
        <v>15100939</v>
      </c>
      <c r="D23" s="146">
        <v>19424923</v>
      </c>
      <c r="E23" s="146">
        <v>23374288</v>
      </c>
      <c r="F23" s="146">
        <v>19713999</v>
      </c>
      <c r="H23" s="507" t="s">
        <v>431</v>
      </c>
      <c r="I23" s="508"/>
      <c r="J23" s="148">
        <v>52629230</v>
      </c>
      <c r="K23" s="148">
        <v>56400230</v>
      </c>
      <c r="L23" s="148">
        <v>59722908</v>
      </c>
      <c r="M23" s="148">
        <v>61012074</v>
      </c>
      <c r="N23" s="148">
        <v>60074730</v>
      </c>
    </row>
    <row r="24" spans="1:14" ht="15" thickBot="1" x14ac:dyDescent="0.4">
      <c r="A24" s="174" t="s">
        <v>432</v>
      </c>
      <c r="B24" s="148">
        <v>1072610</v>
      </c>
      <c r="C24" s="148">
        <v>2378584</v>
      </c>
      <c r="D24" s="148">
        <v>863853</v>
      </c>
      <c r="E24" s="148">
        <v>1187350</v>
      </c>
      <c r="F24" s="148">
        <v>1327430</v>
      </c>
      <c r="H24" s="507" t="s">
        <v>433</v>
      </c>
      <c r="I24" s="508"/>
      <c r="J24" s="148">
        <v>-67280</v>
      </c>
      <c r="K24" s="148">
        <v>-82107</v>
      </c>
      <c r="L24" s="148">
        <v>-86622</v>
      </c>
      <c r="M24" s="148">
        <v>-92909</v>
      </c>
      <c r="N24" s="148">
        <v>-118483</v>
      </c>
    </row>
    <row r="25" spans="1:14" ht="15" thickBot="1" x14ac:dyDescent="0.4">
      <c r="A25" s="174" t="s">
        <v>434</v>
      </c>
      <c r="B25" s="148">
        <v>450000</v>
      </c>
      <c r="C25" s="148">
        <v>286611</v>
      </c>
      <c r="D25" s="148">
        <v>1247390</v>
      </c>
      <c r="E25" s="148">
        <v>1161202</v>
      </c>
      <c r="F25" s="148">
        <v>972514</v>
      </c>
      <c r="H25" s="471" t="s">
        <v>435</v>
      </c>
      <c r="I25" s="472"/>
      <c r="J25" s="150" t="s">
        <v>89</v>
      </c>
      <c r="K25" s="150" t="s">
        <v>89</v>
      </c>
      <c r="L25" s="150" t="s">
        <v>89</v>
      </c>
      <c r="M25" s="150" t="s">
        <v>89</v>
      </c>
      <c r="N25" s="150" t="s">
        <v>89</v>
      </c>
    </row>
    <row r="26" spans="1:14" ht="15" thickBot="1" x14ac:dyDescent="0.4">
      <c r="A26" s="174" t="s">
        <v>436</v>
      </c>
      <c r="B26" s="148">
        <v>8673927</v>
      </c>
      <c r="C26" s="148">
        <v>12435744</v>
      </c>
      <c r="D26" s="148">
        <v>17313680</v>
      </c>
      <c r="E26" s="148">
        <v>21025736</v>
      </c>
      <c r="F26" s="148">
        <v>17414055</v>
      </c>
      <c r="H26" s="471" t="s">
        <v>217</v>
      </c>
      <c r="I26" s="472"/>
      <c r="J26" s="150">
        <v>52561950</v>
      </c>
      <c r="K26" s="150">
        <v>56318123</v>
      </c>
      <c r="L26" s="150">
        <v>59636286</v>
      </c>
      <c r="M26" s="150">
        <v>60919165</v>
      </c>
      <c r="N26" s="150">
        <v>59956247</v>
      </c>
    </row>
    <row r="27" spans="1:14" ht="15" thickBot="1" x14ac:dyDescent="0.4">
      <c r="A27" s="263" t="s">
        <v>80</v>
      </c>
      <c r="B27" s="262">
        <v>3368754</v>
      </c>
      <c r="C27" s="262">
        <v>3457704</v>
      </c>
      <c r="D27" s="262">
        <v>4157129</v>
      </c>
      <c r="E27" s="262">
        <v>4355509</v>
      </c>
      <c r="F27" s="262">
        <v>4620497</v>
      </c>
      <c r="G27">
        <f>F27/N22</f>
        <v>7.7064480036584004E-2</v>
      </c>
      <c r="H27" s="512" t="s">
        <v>131</v>
      </c>
      <c r="I27" s="513"/>
      <c r="J27" s="308">
        <v>27950544</v>
      </c>
      <c r="K27" s="308">
        <v>29745906</v>
      </c>
      <c r="L27" s="308">
        <v>31967663</v>
      </c>
      <c r="M27" s="308">
        <v>34640863</v>
      </c>
      <c r="N27" s="308">
        <v>36059016</v>
      </c>
    </row>
    <row r="28" spans="1:14" ht="15" thickBot="1" x14ac:dyDescent="0.4">
      <c r="A28" s="174" t="s">
        <v>437</v>
      </c>
      <c r="B28" s="148">
        <v>3380017</v>
      </c>
      <c r="C28" s="148">
        <v>3474499</v>
      </c>
      <c r="D28" s="148">
        <v>4173563</v>
      </c>
      <c r="E28" s="148">
        <v>4367766</v>
      </c>
      <c r="F28" s="148">
        <v>4633943</v>
      </c>
      <c r="H28" s="507" t="s">
        <v>219</v>
      </c>
      <c r="I28" s="508"/>
      <c r="J28" s="148">
        <v>27950544</v>
      </c>
      <c r="K28" s="148">
        <v>29745906</v>
      </c>
      <c r="L28" s="148">
        <v>31967663</v>
      </c>
      <c r="M28" s="148">
        <v>34640863</v>
      </c>
      <c r="N28" s="148">
        <v>36059016</v>
      </c>
    </row>
    <row r="29" spans="1:14" ht="15" thickBot="1" x14ac:dyDescent="0.4">
      <c r="A29" s="174" t="s">
        <v>438</v>
      </c>
      <c r="B29" s="148">
        <v>-11263</v>
      </c>
      <c r="C29" s="148">
        <v>-16795</v>
      </c>
      <c r="D29" s="148">
        <v>-16434</v>
      </c>
      <c r="E29" s="148">
        <v>-12257</v>
      </c>
      <c r="F29" s="148">
        <v>-13446</v>
      </c>
      <c r="H29" s="471" t="s">
        <v>221</v>
      </c>
      <c r="I29" s="472"/>
      <c r="J29" s="150">
        <v>24611406</v>
      </c>
      <c r="K29" s="150">
        <v>26572217</v>
      </c>
      <c r="L29" s="150">
        <v>27668623</v>
      </c>
      <c r="M29" s="150">
        <v>26278301</v>
      </c>
      <c r="N29" s="150">
        <v>23897232</v>
      </c>
    </row>
    <row r="30" spans="1:14" ht="15" thickBot="1" x14ac:dyDescent="0.4">
      <c r="A30" s="164" t="s">
        <v>439</v>
      </c>
      <c r="B30" s="146">
        <v>3906394</v>
      </c>
      <c r="C30" s="146">
        <v>3992935</v>
      </c>
      <c r="D30" s="146">
        <v>4732083</v>
      </c>
      <c r="E30" s="146">
        <v>5249456</v>
      </c>
      <c r="F30" s="146">
        <v>5621809</v>
      </c>
      <c r="H30" s="509"/>
      <c r="I30" s="509"/>
      <c r="J30" s="151"/>
      <c r="K30" s="151"/>
      <c r="L30" s="151"/>
      <c r="M30" s="151"/>
      <c r="N30" s="151"/>
    </row>
    <row r="31" spans="1:14" ht="15" thickBot="1" x14ac:dyDescent="0.4">
      <c r="A31" s="174" t="s">
        <v>440</v>
      </c>
      <c r="B31" s="148" t="s">
        <v>89</v>
      </c>
      <c r="C31" s="148">
        <v>31170</v>
      </c>
      <c r="D31" s="148">
        <v>150</v>
      </c>
      <c r="E31" s="148">
        <v>0</v>
      </c>
      <c r="F31" s="148">
        <v>0</v>
      </c>
      <c r="H31" s="512" t="s">
        <v>298</v>
      </c>
      <c r="I31" s="513"/>
      <c r="J31" s="308">
        <v>13267325</v>
      </c>
      <c r="K31" s="308">
        <v>14265574</v>
      </c>
      <c r="L31" s="308">
        <v>14633503</v>
      </c>
      <c r="M31" s="308">
        <v>14128100</v>
      </c>
      <c r="N31" s="308">
        <v>13762792</v>
      </c>
    </row>
    <row r="32" spans="1:14" ht="15" thickBot="1" x14ac:dyDescent="0.4">
      <c r="A32" s="174" t="s">
        <v>441</v>
      </c>
      <c r="B32" s="148">
        <v>537640</v>
      </c>
      <c r="C32" s="148">
        <v>504060</v>
      </c>
      <c r="D32" s="148">
        <v>574804</v>
      </c>
      <c r="E32" s="148">
        <v>893947</v>
      </c>
      <c r="F32" s="148">
        <v>1001313</v>
      </c>
      <c r="H32" s="507" t="s">
        <v>288</v>
      </c>
      <c r="I32" s="508"/>
      <c r="J32" s="148">
        <v>12233367</v>
      </c>
      <c r="K32" s="148">
        <v>2113062</v>
      </c>
      <c r="L32" s="148">
        <v>2219417</v>
      </c>
      <c r="M32" s="148">
        <v>2431649</v>
      </c>
      <c r="N32" s="148">
        <v>3104749</v>
      </c>
    </row>
    <row r="33" spans="1:14" ht="15" thickBot="1" x14ac:dyDescent="0.4">
      <c r="A33" s="164" t="s">
        <v>81</v>
      </c>
      <c r="B33" s="146">
        <v>5525846</v>
      </c>
      <c r="C33" s="146">
        <v>4983044</v>
      </c>
      <c r="D33" s="146">
        <v>4905069</v>
      </c>
      <c r="E33" s="146">
        <v>6773072</v>
      </c>
      <c r="F33" s="262">
        <v>5537563</v>
      </c>
      <c r="H33" s="507" t="s">
        <v>289</v>
      </c>
      <c r="I33" s="508"/>
      <c r="J33" s="148">
        <v>1033958</v>
      </c>
      <c r="K33" s="148">
        <v>1256211</v>
      </c>
      <c r="L33" s="148">
        <v>1205454</v>
      </c>
      <c r="M33" s="148">
        <v>1234042</v>
      </c>
      <c r="N33" s="148">
        <v>742460</v>
      </c>
    </row>
    <row r="34" spans="1:14" ht="15" thickBot="1" x14ac:dyDescent="0.4">
      <c r="A34" s="174" t="s">
        <v>292</v>
      </c>
      <c r="B34" s="148">
        <v>1398512</v>
      </c>
      <c r="C34" s="148">
        <v>1377200</v>
      </c>
      <c r="D34" s="148">
        <v>1249009</v>
      </c>
      <c r="E34" s="148">
        <v>1196234</v>
      </c>
      <c r="F34" s="148">
        <v>1087965</v>
      </c>
      <c r="H34" s="507" t="s">
        <v>290</v>
      </c>
      <c r="I34" s="508"/>
      <c r="J34" s="148" t="s">
        <v>89</v>
      </c>
      <c r="K34" s="148">
        <v>10896301</v>
      </c>
      <c r="L34" s="148">
        <v>11208632</v>
      </c>
      <c r="M34" s="148">
        <v>10462408</v>
      </c>
      <c r="N34" s="148">
        <v>9915583</v>
      </c>
    </row>
    <row r="35" spans="1:14" ht="15" thickBot="1" x14ac:dyDescent="0.4">
      <c r="A35" s="174" t="s">
        <v>293</v>
      </c>
      <c r="B35" s="148">
        <v>104353</v>
      </c>
      <c r="C35" s="148">
        <v>170681</v>
      </c>
      <c r="D35" s="148">
        <v>217924</v>
      </c>
      <c r="E35" s="148">
        <v>257787</v>
      </c>
      <c r="F35" s="148">
        <v>199435</v>
      </c>
      <c r="H35" s="471" t="s">
        <v>299</v>
      </c>
      <c r="I35" s="472"/>
      <c r="J35" s="150" t="s">
        <v>89</v>
      </c>
      <c r="K35" s="150" t="s">
        <v>89</v>
      </c>
      <c r="L35" s="150" t="s">
        <v>89</v>
      </c>
      <c r="M35" s="150" t="s">
        <v>89</v>
      </c>
      <c r="N35" s="150" t="s">
        <v>89</v>
      </c>
    </row>
    <row r="36" spans="1:14" ht="15" thickBot="1" x14ac:dyDescent="0.4">
      <c r="A36" s="174" t="s">
        <v>294</v>
      </c>
      <c r="B36" s="148">
        <v>2768993</v>
      </c>
      <c r="C36" s="148">
        <v>2661481</v>
      </c>
      <c r="D36" s="148">
        <v>2923632</v>
      </c>
      <c r="E36" s="148">
        <v>4226624</v>
      </c>
      <c r="F36" s="148">
        <v>3365993</v>
      </c>
      <c r="H36" s="510" t="s">
        <v>300</v>
      </c>
      <c r="I36" s="511"/>
      <c r="J36" s="262">
        <v>131912</v>
      </c>
      <c r="K36" s="262">
        <v>124183</v>
      </c>
      <c r="L36" s="262">
        <v>772145</v>
      </c>
      <c r="M36" s="262">
        <v>389883</v>
      </c>
      <c r="N36" s="262">
        <v>381265</v>
      </c>
    </row>
    <row r="37" spans="1:14" ht="15" thickBot="1" x14ac:dyDescent="0.4">
      <c r="A37" s="174" t="s">
        <v>295</v>
      </c>
      <c r="B37" s="148">
        <v>1253987</v>
      </c>
      <c r="C37" s="148">
        <v>773682</v>
      </c>
      <c r="D37" s="148">
        <v>514504</v>
      </c>
      <c r="E37" s="148">
        <v>1092427</v>
      </c>
      <c r="F37" s="148">
        <v>884170</v>
      </c>
      <c r="H37" s="507" t="s">
        <v>78</v>
      </c>
      <c r="I37" s="508"/>
      <c r="J37" s="148">
        <v>131912</v>
      </c>
      <c r="K37" s="148">
        <v>124183</v>
      </c>
      <c r="L37" s="148">
        <v>163997</v>
      </c>
      <c r="M37" s="148">
        <v>144343</v>
      </c>
      <c r="N37" s="148">
        <v>135725</v>
      </c>
    </row>
    <row r="38" spans="1:14" ht="15" thickBot="1" x14ac:dyDescent="0.4">
      <c r="A38" s="181" t="s">
        <v>87</v>
      </c>
      <c r="B38" s="150">
        <v>930979</v>
      </c>
      <c r="C38" s="150">
        <v>644647</v>
      </c>
      <c r="D38" s="150">
        <v>603651</v>
      </c>
      <c r="E38" s="150">
        <v>713095</v>
      </c>
      <c r="F38" s="150">
        <v>687011</v>
      </c>
      <c r="H38" s="507" t="s">
        <v>301</v>
      </c>
      <c r="I38" s="508"/>
      <c r="J38" s="148" t="s">
        <v>89</v>
      </c>
      <c r="K38" s="148" t="s">
        <v>89</v>
      </c>
      <c r="L38" s="148">
        <v>608149</v>
      </c>
      <c r="M38" s="148">
        <v>245540</v>
      </c>
      <c r="N38" s="148">
        <v>245540</v>
      </c>
    </row>
    <row r="39" spans="1:14" ht="15" thickBot="1" x14ac:dyDescent="0.4">
      <c r="A39" s="181" t="s">
        <v>442</v>
      </c>
      <c r="B39" s="150" t="s">
        <v>89</v>
      </c>
      <c r="C39" s="150" t="s">
        <v>89</v>
      </c>
      <c r="D39" s="150" t="s">
        <v>89</v>
      </c>
      <c r="E39" s="150" t="s">
        <v>89</v>
      </c>
      <c r="F39" s="150" t="s">
        <v>89</v>
      </c>
      <c r="H39" s="279"/>
      <c r="I39" s="280"/>
      <c r="J39" s="148"/>
      <c r="K39" s="392">
        <f>K37/J37-1</f>
        <v>-5.8592091697495352E-2</v>
      </c>
      <c r="L39" s="392">
        <f t="shared" ref="L39:N39" si="0">L37/K37-1</f>
        <v>0.32060749055828897</v>
      </c>
      <c r="M39" s="392">
        <f t="shared" si="0"/>
        <v>-0.11984365567662825</v>
      </c>
      <c r="N39" s="392">
        <f t="shared" si="0"/>
        <v>-5.9705008209611776E-2</v>
      </c>
    </row>
    <row r="40" spans="1:14" ht="15" thickBot="1" x14ac:dyDescent="0.4">
      <c r="A40" s="181"/>
      <c r="B40" s="150">
        <f>SUM(B33,B30,B27,B23)</f>
        <v>22997531</v>
      </c>
      <c r="C40" s="150">
        <f t="shared" ref="C40:G40" si="1">SUM(C33,C30,C27,C23)</f>
        <v>27534622</v>
      </c>
      <c r="D40" s="150">
        <f t="shared" si="1"/>
        <v>33219204</v>
      </c>
      <c r="E40" s="150">
        <f t="shared" si="1"/>
        <v>39752325</v>
      </c>
      <c r="F40" s="150">
        <f t="shared" si="1"/>
        <v>35493868</v>
      </c>
      <c r="G40" s="150">
        <f t="shared" si="1"/>
        <v>7.7064480036584004E-2</v>
      </c>
      <c r="H40" s="279"/>
      <c r="I40" s="280"/>
      <c r="J40" s="148"/>
      <c r="K40" s="148"/>
      <c r="L40" s="148"/>
      <c r="M40" s="392">
        <f>AVERAGE(L39:N39)</f>
        <v>4.7019608890682983E-2</v>
      </c>
      <c r="N40" s="392">
        <f>(N37/K37)^(1/3)-1</f>
        <v>3.0068012782268561E-2</v>
      </c>
    </row>
    <row r="41" spans="1:14" ht="15" thickBot="1" x14ac:dyDescent="0.4">
      <c r="A41" s="181" t="s">
        <v>443</v>
      </c>
      <c r="B41" s="150">
        <v>20559757</v>
      </c>
      <c r="C41" s="150">
        <v>24721565</v>
      </c>
      <c r="D41" s="150">
        <v>29665726</v>
      </c>
      <c r="E41" s="150">
        <v>36109911</v>
      </c>
      <c r="F41" s="150">
        <v>31560382</v>
      </c>
      <c r="H41" s="279"/>
      <c r="I41" s="280"/>
      <c r="J41" s="148"/>
      <c r="K41" s="148"/>
      <c r="L41" s="148"/>
      <c r="M41" s="148"/>
      <c r="N41" s="148"/>
    </row>
    <row r="42" spans="1:14" ht="15" thickBot="1" x14ac:dyDescent="0.4">
      <c r="A42" s="151">
        <f>B23/B41</f>
        <v>0.49594637718724011</v>
      </c>
      <c r="B42" s="151">
        <f>B33/B41</f>
        <v>0.26877000540424673</v>
      </c>
      <c r="C42" s="151"/>
      <c r="D42" s="151"/>
      <c r="E42" s="151"/>
      <c r="F42" s="151"/>
      <c r="H42" s="279"/>
      <c r="I42" s="280"/>
      <c r="J42" s="148"/>
      <c r="K42" s="148"/>
      <c r="L42" s="148"/>
      <c r="M42" s="148"/>
      <c r="N42" s="148"/>
    </row>
    <row r="43" spans="1:14" ht="15" thickBot="1" x14ac:dyDescent="0.4">
      <c r="A43" s="386" t="s">
        <v>444</v>
      </c>
      <c r="B43" s="387">
        <v>23820606</v>
      </c>
      <c r="C43" s="387">
        <v>27171282</v>
      </c>
      <c r="D43" s="387">
        <v>28100269</v>
      </c>
      <c r="E43" s="387">
        <v>28775367</v>
      </c>
      <c r="F43" s="387">
        <v>30307287</v>
      </c>
      <c r="H43" s="512" t="s">
        <v>302</v>
      </c>
      <c r="I43" s="513"/>
      <c r="J43" s="308">
        <v>51367</v>
      </c>
      <c r="K43" s="308">
        <v>108825</v>
      </c>
      <c r="L43" s="308">
        <v>143818</v>
      </c>
      <c r="M43" s="308">
        <v>88799</v>
      </c>
      <c r="N43" s="308">
        <v>166039</v>
      </c>
    </row>
    <row r="44" spans="1:14" ht="15" thickBot="1" x14ac:dyDescent="0.4">
      <c r="A44" s="174" t="s">
        <v>445</v>
      </c>
      <c r="B44" s="388">
        <v>4495227</v>
      </c>
      <c r="C44" s="388">
        <v>5219431</v>
      </c>
      <c r="D44" s="388">
        <v>5572782</v>
      </c>
      <c r="E44" s="388">
        <v>5798921</v>
      </c>
      <c r="F44" s="388">
        <v>5881017</v>
      </c>
      <c r="H44" s="507" t="s">
        <v>303</v>
      </c>
      <c r="I44" s="508"/>
      <c r="J44" s="148">
        <v>51367</v>
      </c>
      <c r="K44" s="148">
        <v>108825</v>
      </c>
      <c r="L44" s="148">
        <v>143818</v>
      </c>
      <c r="M44" s="148">
        <v>88799</v>
      </c>
      <c r="N44" s="148">
        <v>166039</v>
      </c>
    </row>
    <row r="45" spans="1:14" ht="15" thickBot="1" x14ac:dyDescent="0.4">
      <c r="A45" s="174" t="s">
        <v>446</v>
      </c>
      <c r="B45" s="388">
        <v>16796305</v>
      </c>
      <c r="C45" s="388">
        <v>19034706</v>
      </c>
      <c r="D45" s="388">
        <v>19480777</v>
      </c>
      <c r="E45" s="388">
        <v>19811260</v>
      </c>
      <c r="F45" s="388">
        <v>20499699</v>
      </c>
      <c r="H45" s="512" t="s">
        <v>447</v>
      </c>
      <c r="I45" s="513"/>
      <c r="J45" s="308">
        <v>-696470</v>
      </c>
      <c r="K45" s="308">
        <v>-703512</v>
      </c>
      <c r="L45" s="308">
        <v>-1189070</v>
      </c>
      <c r="M45" s="308">
        <v>-1072481</v>
      </c>
      <c r="N45" s="308">
        <v>-1019342</v>
      </c>
    </row>
    <row r="46" spans="1:14" ht="15" thickBot="1" x14ac:dyDescent="0.4">
      <c r="A46" s="174" t="s">
        <v>448</v>
      </c>
      <c r="B46" s="388">
        <v>868246</v>
      </c>
      <c r="C46" s="388">
        <v>943846</v>
      </c>
      <c r="D46" s="388">
        <v>1062634</v>
      </c>
      <c r="E46" s="388">
        <v>1130024</v>
      </c>
      <c r="F46" s="388">
        <v>1805130</v>
      </c>
      <c r="H46" s="507" t="s">
        <v>449</v>
      </c>
      <c r="I46" s="508"/>
      <c r="J46" s="148">
        <v>-665813</v>
      </c>
      <c r="K46" s="148">
        <v>-724202</v>
      </c>
      <c r="L46" s="148">
        <v>-1148536</v>
      </c>
      <c r="M46" s="148">
        <v>-1103473</v>
      </c>
      <c r="N46" s="148">
        <v>-1198975</v>
      </c>
    </row>
    <row r="47" spans="1:14" ht="15" thickBot="1" x14ac:dyDescent="0.4">
      <c r="A47" s="174" t="s">
        <v>450</v>
      </c>
      <c r="B47" s="388">
        <v>999183</v>
      </c>
      <c r="C47" s="388">
        <v>1248752</v>
      </c>
      <c r="D47" s="388">
        <v>1319902</v>
      </c>
      <c r="E47" s="388">
        <v>1332765</v>
      </c>
      <c r="F47" s="388">
        <v>1384952</v>
      </c>
      <c r="H47" s="507" t="s">
        <v>451</v>
      </c>
      <c r="I47" s="508"/>
      <c r="J47" s="148">
        <v>-30657</v>
      </c>
      <c r="K47" s="148">
        <v>20690</v>
      </c>
      <c r="L47" s="148">
        <v>-40535</v>
      </c>
      <c r="M47" s="148">
        <v>30992</v>
      </c>
      <c r="N47" s="148">
        <v>179633</v>
      </c>
    </row>
    <row r="48" spans="1:14" ht="15" thickBot="1" x14ac:dyDescent="0.4">
      <c r="A48" s="174" t="s">
        <v>452</v>
      </c>
      <c r="B48" s="388">
        <v>661645</v>
      </c>
      <c r="C48" s="388">
        <v>724547</v>
      </c>
      <c r="D48" s="388">
        <v>664174</v>
      </c>
      <c r="E48" s="388">
        <v>702397</v>
      </c>
      <c r="F48" s="388">
        <v>736490</v>
      </c>
      <c r="H48" s="471" t="s">
        <v>453</v>
      </c>
      <c r="I48" s="472"/>
      <c r="J48" s="150" t="s">
        <v>89</v>
      </c>
      <c r="K48" s="150" t="s">
        <v>89</v>
      </c>
      <c r="L48" s="150" t="s">
        <v>89</v>
      </c>
      <c r="M48" s="150" t="s">
        <v>89</v>
      </c>
      <c r="N48" s="150" t="s">
        <v>89</v>
      </c>
    </row>
    <row r="49" spans="1:14" ht="15" thickBot="1" x14ac:dyDescent="0.4">
      <c r="A49" s="164" t="s">
        <v>454</v>
      </c>
      <c r="B49" s="146">
        <v>13916017</v>
      </c>
      <c r="C49" s="146">
        <v>14687755</v>
      </c>
      <c r="D49" s="146">
        <v>13779940</v>
      </c>
      <c r="E49" s="146">
        <v>12750118</v>
      </c>
      <c r="F49" s="146">
        <v>12665496</v>
      </c>
      <c r="H49" s="512" t="s">
        <v>455</v>
      </c>
      <c r="I49" s="513"/>
      <c r="J49" s="308">
        <v>-645103</v>
      </c>
      <c r="K49" s="308">
        <v>-594687</v>
      </c>
      <c r="L49" s="308">
        <v>-1045252</v>
      </c>
      <c r="M49" s="308">
        <v>-983681</v>
      </c>
      <c r="N49" s="308">
        <v>-853303</v>
      </c>
    </row>
    <row r="50" spans="1:14" ht="15" thickBot="1" x14ac:dyDescent="0.4">
      <c r="A50" s="174" t="s">
        <v>456</v>
      </c>
      <c r="B50" s="148">
        <v>-9904589</v>
      </c>
      <c r="C50" s="148">
        <v>-12483527</v>
      </c>
      <c r="D50" s="148">
        <v>-14320328</v>
      </c>
      <c r="E50" s="148">
        <v>-16025248</v>
      </c>
      <c r="F50" s="148">
        <v>-17641791</v>
      </c>
      <c r="H50" s="471" t="s">
        <v>457</v>
      </c>
      <c r="I50" s="472"/>
      <c r="J50" s="150" t="s">
        <v>89</v>
      </c>
      <c r="K50" s="150" t="s">
        <v>89</v>
      </c>
      <c r="L50" s="150" t="s">
        <v>89</v>
      </c>
      <c r="M50" s="150" t="s">
        <v>89</v>
      </c>
      <c r="N50" s="150" t="s">
        <v>89</v>
      </c>
    </row>
    <row r="51" spans="1:14" ht="15" thickBot="1" x14ac:dyDescent="0.4">
      <c r="A51" s="164" t="s">
        <v>458</v>
      </c>
      <c r="B51" s="146">
        <v>538340</v>
      </c>
      <c r="C51" s="146">
        <v>2366060</v>
      </c>
      <c r="D51" s="146">
        <v>2058548</v>
      </c>
      <c r="E51" s="146">
        <v>1813008</v>
      </c>
      <c r="F51" s="146">
        <v>1567468</v>
      </c>
      <c r="H51" s="512" t="s">
        <v>459</v>
      </c>
      <c r="I51" s="513"/>
      <c r="J51" s="308">
        <v>-19241</v>
      </c>
      <c r="K51" s="308">
        <v>-19943</v>
      </c>
      <c r="L51" s="308">
        <v>-231154</v>
      </c>
      <c r="M51" s="308">
        <v>16380</v>
      </c>
      <c r="N51" s="308">
        <v>115411</v>
      </c>
    </row>
    <row r="52" spans="1:14" ht="15" thickBot="1" x14ac:dyDescent="0.4">
      <c r="A52" s="174" t="s">
        <v>460</v>
      </c>
      <c r="B52" s="148" t="s">
        <v>89</v>
      </c>
      <c r="C52" s="148" t="s">
        <v>89</v>
      </c>
      <c r="D52" s="148" t="s">
        <v>89</v>
      </c>
      <c r="E52" s="148">
        <v>2058548</v>
      </c>
      <c r="F52" s="148">
        <v>1813008</v>
      </c>
      <c r="H52" s="507" t="s">
        <v>461</v>
      </c>
      <c r="I52" s="508"/>
      <c r="J52" s="148">
        <v>-19241</v>
      </c>
      <c r="K52" s="148">
        <v>-19943</v>
      </c>
      <c r="L52" s="148">
        <v>-231154</v>
      </c>
      <c r="M52" s="148">
        <v>16380</v>
      </c>
      <c r="N52" s="148">
        <v>115411</v>
      </c>
    </row>
    <row r="53" spans="1:14" ht="15" thickBot="1" x14ac:dyDescent="0.4">
      <c r="A53" s="174" t="s">
        <v>462</v>
      </c>
      <c r="B53" s="148" t="s">
        <v>89</v>
      </c>
      <c r="C53" s="148" t="s">
        <v>89</v>
      </c>
      <c r="D53" s="148" t="s">
        <v>89</v>
      </c>
      <c r="E53" s="148">
        <v>-245540</v>
      </c>
      <c r="F53" s="148">
        <v>-245540</v>
      </c>
      <c r="H53" s="471" t="s">
        <v>463</v>
      </c>
      <c r="I53" s="472"/>
      <c r="J53" s="150">
        <v>40685437</v>
      </c>
      <c r="K53" s="150">
        <v>43521033</v>
      </c>
      <c r="L53" s="150">
        <v>46096905</v>
      </c>
      <c r="M53" s="150">
        <v>48191545</v>
      </c>
      <c r="N53" s="150">
        <v>49465182</v>
      </c>
    </row>
    <row r="54" spans="1:14" ht="15" thickBot="1" x14ac:dyDescent="0.4">
      <c r="A54" s="164" t="s">
        <v>464</v>
      </c>
      <c r="B54" s="146">
        <v>317582</v>
      </c>
      <c r="C54" s="146">
        <v>1149631</v>
      </c>
      <c r="D54" s="146">
        <v>1136501</v>
      </c>
      <c r="E54" s="146">
        <v>1086504</v>
      </c>
      <c r="F54" s="146">
        <v>1042841</v>
      </c>
      <c r="H54" s="471" t="s">
        <v>465</v>
      </c>
      <c r="I54" s="472"/>
      <c r="J54" s="150">
        <v>11876513</v>
      </c>
      <c r="K54" s="150">
        <v>12797090</v>
      </c>
      <c r="L54" s="150">
        <v>13539381</v>
      </c>
      <c r="M54" s="150">
        <v>12727620</v>
      </c>
      <c r="N54" s="150">
        <v>10491065</v>
      </c>
    </row>
    <row r="55" spans="1:14" ht="15" thickBot="1" x14ac:dyDescent="0.4">
      <c r="A55" s="174" t="s">
        <v>466</v>
      </c>
      <c r="B55" s="148">
        <v>475569</v>
      </c>
      <c r="C55" s="148">
        <v>1297665</v>
      </c>
      <c r="D55" s="148">
        <v>1338629</v>
      </c>
      <c r="E55" s="148">
        <v>1341665</v>
      </c>
      <c r="F55" s="148">
        <v>1353424</v>
      </c>
      <c r="H55" s="471" t="s">
        <v>467</v>
      </c>
      <c r="I55" s="472"/>
      <c r="J55" s="150" t="s">
        <v>89</v>
      </c>
      <c r="K55" s="150" t="s">
        <v>89</v>
      </c>
      <c r="L55" s="150" t="s">
        <v>89</v>
      </c>
      <c r="M55" s="150" t="s">
        <v>89</v>
      </c>
      <c r="N55" s="150" t="s">
        <v>89</v>
      </c>
    </row>
    <row r="56" spans="1:14" ht="15" thickBot="1" x14ac:dyDescent="0.4">
      <c r="A56" s="174" t="s">
        <v>468</v>
      </c>
      <c r="B56" s="148">
        <v>-157987</v>
      </c>
      <c r="C56" s="148">
        <v>-148034</v>
      </c>
      <c r="D56" s="148">
        <v>-202128</v>
      </c>
      <c r="E56" s="148">
        <v>-255161</v>
      </c>
      <c r="F56" s="148">
        <v>-310582</v>
      </c>
      <c r="H56" s="471" t="s">
        <v>469</v>
      </c>
      <c r="I56" s="472"/>
      <c r="J56" s="150" t="s">
        <v>89</v>
      </c>
      <c r="K56" s="150" t="s">
        <v>89</v>
      </c>
      <c r="L56" s="150" t="s">
        <v>89</v>
      </c>
      <c r="M56" s="150" t="s">
        <v>89</v>
      </c>
      <c r="N56" s="150" t="s">
        <v>89</v>
      </c>
    </row>
    <row r="57" spans="1:14" ht="15" thickBot="1" x14ac:dyDescent="0.4">
      <c r="A57" s="164" t="s">
        <v>470</v>
      </c>
      <c r="B57" s="146">
        <v>1158909</v>
      </c>
      <c r="C57" s="146">
        <v>1048694</v>
      </c>
      <c r="D57" s="146">
        <v>1033438</v>
      </c>
      <c r="E57" s="146">
        <v>803912</v>
      </c>
      <c r="F57" s="146">
        <v>800264</v>
      </c>
      <c r="H57" s="471" t="s">
        <v>471</v>
      </c>
      <c r="I57" s="472"/>
      <c r="J57" s="150" t="s">
        <v>89</v>
      </c>
      <c r="K57" s="150" t="s">
        <v>89</v>
      </c>
      <c r="L57" s="150" t="s">
        <v>89</v>
      </c>
      <c r="M57" s="150" t="s">
        <v>89</v>
      </c>
      <c r="N57" s="150" t="s">
        <v>89</v>
      </c>
    </row>
    <row r="58" spans="1:14" ht="15" thickBot="1" x14ac:dyDescent="0.4">
      <c r="A58" s="174" t="s">
        <v>472</v>
      </c>
      <c r="B58" s="148">
        <v>497499</v>
      </c>
      <c r="C58" s="148">
        <v>688113</v>
      </c>
      <c r="D58" s="148">
        <v>686486</v>
      </c>
      <c r="E58" s="148">
        <v>661024</v>
      </c>
      <c r="F58" s="148">
        <v>664303</v>
      </c>
      <c r="H58" s="471" t="s">
        <v>473</v>
      </c>
      <c r="I58" s="472"/>
      <c r="J58" s="150" t="s">
        <v>89</v>
      </c>
      <c r="K58" s="150" t="s">
        <v>89</v>
      </c>
      <c r="L58" s="150" t="s">
        <v>89</v>
      </c>
      <c r="M58" s="150" t="s">
        <v>89</v>
      </c>
      <c r="N58" s="150" t="s">
        <v>89</v>
      </c>
    </row>
    <row r="59" spans="1:14" ht="15" thickBot="1" x14ac:dyDescent="0.4">
      <c r="A59" s="174" t="s">
        <v>474</v>
      </c>
      <c r="B59" s="148">
        <v>661410</v>
      </c>
      <c r="C59" s="148">
        <v>360582</v>
      </c>
      <c r="D59" s="148">
        <v>346952</v>
      </c>
      <c r="E59" s="148">
        <v>142888</v>
      </c>
      <c r="F59" s="148">
        <v>135961</v>
      </c>
      <c r="H59" s="471" t="s">
        <v>475</v>
      </c>
      <c r="I59" s="472"/>
      <c r="J59" s="150">
        <v>-39690</v>
      </c>
      <c r="K59" s="150">
        <v>-42613</v>
      </c>
      <c r="L59" s="150">
        <v>-43122</v>
      </c>
      <c r="M59" s="150">
        <v>-73581</v>
      </c>
      <c r="N59" s="150">
        <v>-88325</v>
      </c>
    </row>
    <row r="60" spans="1:14" ht="15" thickBot="1" x14ac:dyDescent="0.4">
      <c r="A60" s="181" t="s">
        <v>476</v>
      </c>
      <c r="B60" s="150">
        <v>88443</v>
      </c>
      <c r="C60" s="150">
        <v>21170</v>
      </c>
      <c r="D60" s="150">
        <v>19974</v>
      </c>
      <c r="E60" s="150">
        <v>16695</v>
      </c>
      <c r="F60" s="150">
        <v>38423</v>
      </c>
      <c r="H60" s="505" t="s">
        <v>461</v>
      </c>
      <c r="I60" s="506"/>
      <c r="J60" s="146">
        <v>214872</v>
      </c>
      <c r="K60" s="146">
        <v>41232</v>
      </c>
      <c r="L60" s="146">
        <v>22278</v>
      </c>
      <c r="M60" s="146">
        <v>268196</v>
      </c>
      <c r="N60" s="146">
        <v>92794</v>
      </c>
    </row>
    <row r="61" spans="1:14" ht="15" thickBot="1" x14ac:dyDescent="0.4">
      <c r="A61" s="164" t="s">
        <v>477</v>
      </c>
      <c r="B61" s="146">
        <v>787060</v>
      </c>
      <c r="C61" s="146">
        <v>704998</v>
      </c>
      <c r="D61" s="146">
        <v>738353</v>
      </c>
      <c r="E61" s="146">
        <v>752256</v>
      </c>
      <c r="F61" s="146">
        <v>807790</v>
      </c>
      <c r="H61" s="507" t="s">
        <v>478</v>
      </c>
      <c r="I61" s="508"/>
      <c r="J61" s="148">
        <v>214872</v>
      </c>
      <c r="K61" s="148">
        <v>41232</v>
      </c>
      <c r="L61" s="148">
        <v>22278</v>
      </c>
      <c r="M61" s="148">
        <v>268196</v>
      </c>
      <c r="N61" s="148">
        <v>92794</v>
      </c>
    </row>
    <row r="62" spans="1:14" ht="15" thickBot="1" x14ac:dyDescent="0.4">
      <c r="A62" s="174" t="s">
        <v>479</v>
      </c>
      <c r="B62" s="148">
        <v>750599</v>
      </c>
      <c r="C62" s="148">
        <v>678630</v>
      </c>
      <c r="D62" s="148">
        <v>713499</v>
      </c>
      <c r="E62" s="148">
        <v>725108</v>
      </c>
      <c r="F62" s="148">
        <v>772805</v>
      </c>
      <c r="H62" s="471" t="s">
        <v>480</v>
      </c>
      <c r="I62" s="472"/>
      <c r="J62" s="150">
        <v>12051696</v>
      </c>
      <c r="K62" s="150">
        <v>12795710</v>
      </c>
      <c r="L62" s="150">
        <v>13518536</v>
      </c>
      <c r="M62" s="150">
        <v>12922235</v>
      </c>
      <c r="N62" s="150">
        <v>10495535</v>
      </c>
    </row>
    <row r="63" spans="1:14" ht="15" thickBot="1" x14ac:dyDescent="0.4">
      <c r="A63" s="174" t="s">
        <v>481</v>
      </c>
      <c r="B63" s="148">
        <v>36461</v>
      </c>
      <c r="C63" s="148">
        <v>26367</v>
      </c>
      <c r="D63" s="148">
        <v>24854</v>
      </c>
      <c r="E63" s="148">
        <v>27148</v>
      </c>
      <c r="F63" s="148">
        <v>34985</v>
      </c>
      <c r="H63" s="471" t="s">
        <v>482</v>
      </c>
      <c r="I63" s="472"/>
      <c r="J63" s="150">
        <v>1846067</v>
      </c>
      <c r="K63" s="150">
        <v>2241378</v>
      </c>
      <c r="L63" s="150">
        <v>2282804</v>
      </c>
      <c r="M63" s="150">
        <v>2289700</v>
      </c>
      <c r="N63" s="150">
        <v>1917959</v>
      </c>
    </row>
    <row r="64" spans="1:14" ht="15" thickBot="1" x14ac:dyDescent="0.4">
      <c r="A64" s="181" t="s">
        <v>483</v>
      </c>
      <c r="B64" s="150">
        <v>37366109</v>
      </c>
      <c r="C64" s="150">
        <v>44699873</v>
      </c>
      <c r="D64" s="150">
        <v>48432481</v>
      </c>
      <c r="E64" s="150">
        <v>53332403</v>
      </c>
      <c r="F64" s="150">
        <v>48482664</v>
      </c>
      <c r="H64" s="471" t="s">
        <v>484</v>
      </c>
      <c r="I64" s="472"/>
      <c r="J64" s="150">
        <v>10205630</v>
      </c>
      <c r="K64" s="150">
        <v>10554332</v>
      </c>
      <c r="L64" s="150">
        <v>11235732</v>
      </c>
      <c r="M64" s="150">
        <v>10632536</v>
      </c>
      <c r="N64" s="150">
        <v>8577575</v>
      </c>
    </row>
    <row r="65" spans="1:14" ht="12" customHeight="1" thickBot="1" x14ac:dyDescent="0.4">
      <c r="A65" s="151"/>
      <c r="B65" s="151"/>
      <c r="C65" s="261">
        <f t="shared" ref="C65:E65" si="2">C64-C41</f>
        <v>19978308</v>
      </c>
      <c r="D65" s="261">
        <f t="shared" si="2"/>
        <v>18766755</v>
      </c>
      <c r="E65" s="261">
        <f t="shared" si="2"/>
        <v>17222492</v>
      </c>
      <c r="F65" s="261">
        <f>F64-F41</f>
        <v>16922282</v>
      </c>
      <c r="H65" s="471" t="s">
        <v>485</v>
      </c>
      <c r="I65" s="472"/>
      <c r="J65" s="150">
        <v>21651</v>
      </c>
      <c r="K65" s="150">
        <v>26844</v>
      </c>
      <c r="L65" s="150">
        <v>-136795</v>
      </c>
      <c r="M65" s="150">
        <v>-100059</v>
      </c>
      <c r="N65" s="150">
        <v>-61552</v>
      </c>
    </row>
    <row r="66" spans="1:14" ht="15" thickBot="1" x14ac:dyDescent="0.4">
      <c r="A66" s="98" t="s">
        <v>486</v>
      </c>
      <c r="B66" s="98"/>
      <c r="C66" s="98"/>
      <c r="D66" s="98"/>
      <c r="E66" s="98"/>
      <c r="F66" s="98"/>
      <c r="H66" s="471" t="s">
        <v>487</v>
      </c>
      <c r="I66" s="472"/>
      <c r="J66" s="150" t="s">
        <v>89</v>
      </c>
      <c r="K66" s="150" t="s">
        <v>89</v>
      </c>
      <c r="L66" s="150" t="s">
        <v>89</v>
      </c>
      <c r="M66" s="150" t="s">
        <v>89</v>
      </c>
      <c r="N66" s="150" t="s">
        <v>89</v>
      </c>
    </row>
    <row r="67" spans="1:14" ht="15" thickBot="1" x14ac:dyDescent="0.4">
      <c r="A67" s="181" t="s">
        <v>82</v>
      </c>
      <c r="B67" s="150">
        <v>3991065</v>
      </c>
      <c r="C67" s="150">
        <v>3648446</v>
      </c>
      <c r="D67" s="150">
        <v>3199186</v>
      </c>
      <c r="E67" s="150">
        <v>4213888</v>
      </c>
      <c r="F67" s="150">
        <v>4284158</v>
      </c>
      <c r="H67" s="471" t="s">
        <v>488</v>
      </c>
      <c r="I67" s="472"/>
      <c r="J67" s="150" t="s">
        <v>89</v>
      </c>
      <c r="K67" s="150" t="s">
        <v>89</v>
      </c>
      <c r="L67" s="150" t="s">
        <v>89</v>
      </c>
      <c r="M67" s="150" t="s">
        <v>89</v>
      </c>
      <c r="N67" s="150" t="s">
        <v>89</v>
      </c>
    </row>
    <row r="68" spans="1:14" ht="15" thickBot="1" x14ac:dyDescent="0.4">
      <c r="A68" s="181" t="s">
        <v>489</v>
      </c>
      <c r="B68" s="150" t="s">
        <v>89</v>
      </c>
      <c r="C68" s="150" t="s">
        <v>89</v>
      </c>
      <c r="D68" s="150" t="s">
        <v>89</v>
      </c>
      <c r="E68" s="150" t="s">
        <v>89</v>
      </c>
      <c r="F68" s="150" t="s">
        <v>89</v>
      </c>
      <c r="H68" s="471" t="s">
        <v>490</v>
      </c>
      <c r="I68" s="472"/>
      <c r="J68" s="150">
        <v>10227281</v>
      </c>
      <c r="K68" s="150">
        <v>10581176</v>
      </c>
      <c r="L68" s="150">
        <v>11098937</v>
      </c>
      <c r="M68" s="150">
        <v>10532477</v>
      </c>
      <c r="N68" s="150">
        <v>8516024</v>
      </c>
    </row>
    <row r="69" spans="1:14" ht="15" thickBot="1" x14ac:dyDescent="0.4">
      <c r="A69" s="181" t="s">
        <v>491</v>
      </c>
      <c r="B69" s="150">
        <v>2159517</v>
      </c>
      <c r="C69" s="150">
        <v>2611779</v>
      </c>
      <c r="D69" s="150">
        <v>2749213</v>
      </c>
      <c r="E69" s="150">
        <v>2629301</v>
      </c>
      <c r="F69" s="150">
        <v>2310952</v>
      </c>
      <c r="H69" s="509"/>
      <c r="I69" s="509"/>
      <c r="J69" s="151"/>
      <c r="K69" s="151"/>
      <c r="L69" s="151"/>
      <c r="M69" s="151"/>
      <c r="N69" s="151"/>
    </row>
    <row r="70" spans="1:14" s="265" customFormat="1" ht="15" thickBot="1" x14ac:dyDescent="0.4">
      <c r="A70" s="263" t="s">
        <v>492</v>
      </c>
      <c r="B70" s="262">
        <v>1002185</v>
      </c>
      <c r="C70" s="262">
        <v>5330653</v>
      </c>
      <c r="D70" s="262">
        <v>7295788</v>
      </c>
      <c r="E70" s="262">
        <v>9361726</v>
      </c>
      <c r="F70" s="262">
        <v>4848264</v>
      </c>
      <c r="H70" s="471" t="s">
        <v>493</v>
      </c>
      <c r="I70" s="472"/>
      <c r="J70" s="150" t="s">
        <v>89</v>
      </c>
      <c r="K70" s="150" t="s">
        <v>89</v>
      </c>
      <c r="L70" s="150" t="s">
        <v>89</v>
      </c>
      <c r="M70" s="150" t="s">
        <v>89</v>
      </c>
      <c r="N70" s="150" t="s">
        <v>89</v>
      </c>
    </row>
    <row r="71" spans="1:14" ht="15" thickBot="1" x14ac:dyDescent="0.4">
      <c r="A71" s="263"/>
      <c r="B71" s="262"/>
      <c r="C71" s="266">
        <f t="shared" ref="C71:E71" si="3">C70/C77</f>
        <v>0.36908589799300029</v>
      </c>
      <c r="D71" s="266">
        <f t="shared" si="3"/>
        <v>0.51333073377047456</v>
      </c>
      <c r="E71" s="266">
        <f t="shared" si="3"/>
        <v>0.5484823812307843</v>
      </c>
      <c r="F71" s="266">
        <f>F70/F77</f>
        <v>0.31670564629681319</v>
      </c>
      <c r="H71" s="471" t="s">
        <v>494</v>
      </c>
      <c r="I71" s="472"/>
      <c r="J71" s="150" t="s">
        <v>89</v>
      </c>
      <c r="K71" s="150" t="s">
        <v>89</v>
      </c>
      <c r="L71" s="150" t="s">
        <v>89</v>
      </c>
      <c r="M71" s="150" t="s">
        <v>89</v>
      </c>
      <c r="N71" s="150" t="s">
        <v>89</v>
      </c>
    </row>
    <row r="72" spans="1:14" ht="15" thickBot="1" x14ac:dyDescent="0.4">
      <c r="A72" s="181" t="s">
        <v>495</v>
      </c>
      <c r="B72" s="150">
        <v>57863</v>
      </c>
      <c r="C72" s="150">
        <v>20808</v>
      </c>
      <c r="D72" s="150">
        <v>20709</v>
      </c>
      <c r="E72" s="150">
        <v>20628</v>
      </c>
      <c r="F72" s="150">
        <v>18865</v>
      </c>
      <c r="H72" s="471" t="s">
        <v>496</v>
      </c>
      <c r="I72" s="472"/>
      <c r="J72" s="150" t="s">
        <v>89</v>
      </c>
      <c r="K72" s="150" t="s">
        <v>89</v>
      </c>
      <c r="L72" s="150" t="s">
        <v>89</v>
      </c>
      <c r="M72" s="150" t="s">
        <v>89</v>
      </c>
      <c r="N72" s="150" t="s">
        <v>89</v>
      </c>
    </row>
    <row r="73" spans="1:14" ht="15" thickBot="1" x14ac:dyDescent="0.4">
      <c r="A73" s="164" t="s">
        <v>497</v>
      </c>
      <c r="B73" s="146">
        <v>3428963</v>
      </c>
      <c r="C73" s="146">
        <v>2831166</v>
      </c>
      <c r="D73" s="146">
        <v>947751</v>
      </c>
      <c r="E73" s="146">
        <v>842875</v>
      </c>
      <c r="F73" s="146">
        <v>3846182</v>
      </c>
      <c r="H73" s="471" t="s">
        <v>498</v>
      </c>
      <c r="I73" s="472"/>
      <c r="J73" s="150" t="s">
        <v>89</v>
      </c>
      <c r="K73" s="150" t="s">
        <v>89</v>
      </c>
      <c r="L73" s="150" t="s">
        <v>89</v>
      </c>
      <c r="M73" s="150" t="s">
        <v>89</v>
      </c>
      <c r="N73" s="150" t="s">
        <v>89</v>
      </c>
    </row>
    <row r="74" spans="1:14" ht="15" thickBot="1" x14ac:dyDescent="0.4">
      <c r="A74" s="174" t="s">
        <v>499</v>
      </c>
      <c r="B74" s="148">
        <v>542464</v>
      </c>
      <c r="C74" s="148">
        <v>247359</v>
      </c>
      <c r="D74" s="148">
        <v>127087</v>
      </c>
      <c r="E74" s="148">
        <v>70020</v>
      </c>
      <c r="F74" s="148">
        <v>165870</v>
      </c>
      <c r="H74" s="510" t="s">
        <v>500</v>
      </c>
      <c r="I74" s="511"/>
      <c r="J74" s="262" t="s">
        <v>89</v>
      </c>
      <c r="K74" s="262" t="s">
        <v>89</v>
      </c>
      <c r="L74" s="262" t="s">
        <v>89</v>
      </c>
      <c r="M74" s="262" t="s">
        <v>89</v>
      </c>
      <c r="N74" s="262" t="s">
        <v>89</v>
      </c>
    </row>
    <row r="75" spans="1:14" ht="15" thickBot="1" x14ac:dyDescent="0.4">
      <c r="A75" s="174" t="s">
        <v>501</v>
      </c>
      <c r="B75" s="148">
        <v>341669</v>
      </c>
      <c r="C75" s="148">
        <v>619394</v>
      </c>
      <c r="D75" s="148">
        <v>659550</v>
      </c>
      <c r="E75" s="148">
        <v>648147</v>
      </c>
      <c r="F75" s="148">
        <v>598135</v>
      </c>
      <c r="H75" s="471" t="s">
        <v>502</v>
      </c>
      <c r="I75" s="472"/>
      <c r="J75" s="150">
        <v>10227281</v>
      </c>
      <c r="K75" s="150">
        <v>10581176</v>
      </c>
      <c r="L75" s="150">
        <v>11098937</v>
      </c>
      <c r="M75" s="150">
        <v>10532477</v>
      </c>
      <c r="N75" s="150">
        <v>8516024</v>
      </c>
    </row>
    <row r="76" spans="1:14" ht="15" thickBot="1" x14ac:dyDescent="0.4">
      <c r="A76" s="174" t="s">
        <v>503</v>
      </c>
      <c r="B76" s="148">
        <v>2544830</v>
      </c>
      <c r="C76" s="148">
        <v>1964413</v>
      </c>
      <c r="D76" s="148">
        <v>161113</v>
      </c>
      <c r="E76" s="148">
        <v>124708</v>
      </c>
      <c r="F76" s="148">
        <v>3082177</v>
      </c>
      <c r="H76" s="509"/>
      <c r="I76" s="509"/>
      <c r="J76" s="151"/>
      <c r="K76" s="151"/>
      <c r="L76" s="151"/>
      <c r="M76" s="151"/>
      <c r="N76" s="151"/>
    </row>
    <row r="77" spans="1:14" ht="15" thickBot="1" x14ac:dyDescent="0.4">
      <c r="A77" s="181" t="s">
        <v>504</v>
      </c>
      <c r="B77" s="150">
        <v>10639592</v>
      </c>
      <c r="C77" s="150">
        <v>14442852</v>
      </c>
      <c r="D77" s="150">
        <v>14212646</v>
      </c>
      <c r="E77" s="150">
        <v>17068417</v>
      </c>
      <c r="F77" s="150">
        <v>15308423</v>
      </c>
      <c r="H77" s="471" t="s">
        <v>505</v>
      </c>
      <c r="I77" s="472"/>
      <c r="J77" s="150" t="s">
        <v>89</v>
      </c>
      <c r="K77" s="150" t="s">
        <v>89</v>
      </c>
      <c r="L77" s="150" t="s">
        <v>89</v>
      </c>
      <c r="M77" s="150" t="s">
        <v>89</v>
      </c>
      <c r="N77" s="150" t="s">
        <v>89</v>
      </c>
    </row>
    <row r="78" spans="1:14" ht="15" thickBot="1" x14ac:dyDescent="0.4">
      <c r="A78" s="151"/>
      <c r="B78" s="151"/>
      <c r="C78" s="151"/>
      <c r="D78" s="151"/>
      <c r="E78" s="151"/>
      <c r="F78" s="151"/>
      <c r="H78" s="471" t="s">
        <v>506</v>
      </c>
      <c r="I78" s="472"/>
      <c r="J78" s="150" t="s">
        <v>89</v>
      </c>
      <c r="K78" s="150" t="s">
        <v>89</v>
      </c>
      <c r="L78" s="150" t="s">
        <v>89</v>
      </c>
      <c r="M78" s="150" t="s">
        <v>89</v>
      </c>
      <c r="N78" s="150" t="s">
        <v>89</v>
      </c>
    </row>
    <row r="79" spans="1:14" ht="15" thickBot="1" x14ac:dyDescent="0.4">
      <c r="A79" s="164" t="s">
        <v>507</v>
      </c>
      <c r="B79" s="146">
        <v>215799</v>
      </c>
      <c r="C79" s="146">
        <v>122993</v>
      </c>
      <c r="D79" s="146">
        <v>167422</v>
      </c>
      <c r="E79" s="146">
        <v>75636</v>
      </c>
      <c r="F79" s="146">
        <v>66029</v>
      </c>
      <c r="H79" s="471" t="s">
        <v>508</v>
      </c>
      <c r="I79" s="472"/>
      <c r="J79" s="150">
        <v>-1006694</v>
      </c>
      <c r="K79" s="150">
        <v>-1042687</v>
      </c>
      <c r="L79" s="150">
        <v>-1131165</v>
      </c>
      <c r="M79" s="150">
        <v>-1092037</v>
      </c>
      <c r="N79" s="150">
        <v>-924627</v>
      </c>
    </row>
    <row r="80" spans="1:14" ht="15" thickBot="1" x14ac:dyDescent="0.4">
      <c r="A80" s="174" t="s">
        <v>509</v>
      </c>
      <c r="B80" s="148">
        <v>215799</v>
      </c>
      <c r="C80" s="148">
        <v>122993</v>
      </c>
      <c r="D80" s="148">
        <v>167422</v>
      </c>
      <c r="E80" s="148">
        <v>75636</v>
      </c>
      <c r="F80" s="148">
        <v>66029</v>
      </c>
      <c r="H80" s="471" t="s">
        <v>510</v>
      </c>
      <c r="I80" s="472"/>
      <c r="J80" s="150" t="s">
        <v>89</v>
      </c>
      <c r="K80" s="150" t="s">
        <v>89</v>
      </c>
      <c r="L80" s="150" t="s">
        <v>89</v>
      </c>
      <c r="M80" s="150" t="s">
        <v>89</v>
      </c>
      <c r="N80" s="150" t="s">
        <v>89</v>
      </c>
    </row>
    <row r="81" spans="1:14" ht="15" thickBot="1" x14ac:dyDescent="0.4">
      <c r="A81" s="181" t="s">
        <v>10</v>
      </c>
      <c r="B81" s="150">
        <v>1275847</v>
      </c>
      <c r="C81" s="150">
        <v>5474454</v>
      </c>
      <c r="D81" s="150">
        <v>7483919</v>
      </c>
      <c r="E81" s="150">
        <v>9457990</v>
      </c>
      <c r="F81" s="150">
        <v>4933159</v>
      </c>
      <c r="H81" s="471" t="s">
        <v>511</v>
      </c>
      <c r="I81" s="472"/>
      <c r="J81" s="150" t="s">
        <v>89</v>
      </c>
      <c r="K81" s="150" t="s">
        <v>89</v>
      </c>
      <c r="L81" s="150" t="s">
        <v>89</v>
      </c>
      <c r="M81" s="150" t="s">
        <v>89</v>
      </c>
      <c r="N81" s="150" t="s">
        <v>89</v>
      </c>
    </row>
    <row r="82" spans="1:14" ht="15" thickBot="1" x14ac:dyDescent="0.4">
      <c r="A82" s="164" t="s">
        <v>512</v>
      </c>
      <c r="B82" s="146">
        <v>204758</v>
      </c>
      <c r="C82" s="146">
        <v>374927</v>
      </c>
      <c r="D82" s="146">
        <v>345559</v>
      </c>
      <c r="E82" s="146">
        <v>316335</v>
      </c>
      <c r="F82" s="146">
        <v>287982</v>
      </c>
      <c r="H82" s="471" t="s">
        <v>513</v>
      </c>
      <c r="I82" s="472"/>
      <c r="J82" s="150">
        <v>-1006694</v>
      </c>
      <c r="K82" s="150">
        <v>-1042687</v>
      </c>
      <c r="L82" s="150">
        <v>-1131165</v>
      </c>
      <c r="M82" s="150">
        <v>-1092037</v>
      </c>
      <c r="N82" s="150">
        <v>-924627</v>
      </c>
    </row>
    <row r="83" spans="1:14" ht="15" thickBot="1" x14ac:dyDescent="0.4">
      <c r="A83" s="174" t="s">
        <v>514</v>
      </c>
      <c r="B83" s="148">
        <v>204758</v>
      </c>
      <c r="C83" s="148">
        <v>374927</v>
      </c>
      <c r="D83" s="148">
        <v>345559</v>
      </c>
      <c r="E83" s="148">
        <v>316335</v>
      </c>
      <c r="F83" s="148">
        <v>287982</v>
      </c>
      <c r="H83" s="471" t="s">
        <v>515</v>
      </c>
      <c r="I83" s="472"/>
      <c r="J83" s="150">
        <v>9220587</v>
      </c>
      <c r="K83" s="150">
        <v>9538488</v>
      </c>
      <c r="L83" s="150">
        <v>9967771</v>
      </c>
      <c r="M83" s="150">
        <v>9440440</v>
      </c>
      <c r="N83" s="150">
        <v>7591396</v>
      </c>
    </row>
    <row r="84" spans="1:14" ht="15" thickBot="1" x14ac:dyDescent="0.4">
      <c r="A84" s="181" t="s">
        <v>485</v>
      </c>
      <c r="B84" s="150">
        <v>490235</v>
      </c>
      <c r="C84" s="150">
        <v>2227197</v>
      </c>
      <c r="D84" s="150">
        <v>2349939</v>
      </c>
      <c r="E84" s="150">
        <v>2766835</v>
      </c>
      <c r="F84" s="150">
        <v>2967467</v>
      </c>
      <c r="H84" s="471" t="s">
        <v>516</v>
      </c>
      <c r="I84" s="472"/>
      <c r="J84" s="150">
        <v>9220587</v>
      </c>
      <c r="K84" s="150">
        <v>9538488</v>
      </c>
      <c r="L84" s="150">
        <v>9967771</v>
      </c>
      <c r="M84" s="150">
        <v>9440440</v>
      </c>
      <c r="N84" s="150">
        <v>7591396</v>
      </c>
    </row>
    <row r="85" spans="1:14" ht="15" thickBot="1" x14ac:dyDescent="0.4">
      <c r="A85" s="164" t="s">
        <v>517</v>
      </c>
      <c r="B85" s="146">
        <v>34591</v>
      </c>
      <c r="C85" s="146">
        <v>27846</v>
      </c>
      <c r="D85" s="146">
        <v>59731</v>
      </c>
      <c r="E85" s="146">
        <v>21901</v>
      </c>
      <c r="F85" s="146">
        <v>3712</v>
      </c>
      <c r="H85" s="471" t="s">
        <v>518</v>
      </c>
      <c r="I85" s="472"/>
      <c r="J85" s="150">
        <v>2090</v>
      </c>
      <c r="K85" s="150">
        <v>2090</v>
      </c>
      <c r="L85" s="150">
        <v>2090</v>
      </c>
      <c r="M85" s="150">
        <v>2090</v>
      </c>
      <c r="N85" s="150">
        <v>2090</v>
      </c>
    </row>
    <row r="86" spans="1:14" ht="15" thickBot="1" x14ac:dyDescent="0.4">
      <c r="A86" s="174" t="s">
        <v>519</v>
      </c>
      <c r="B86" s="148">
        <v>2513</v>
      </c>
      <c r="C86" s="148">
        <v>0</v>
      </c>
      <c r="D86" s="148" t="s">
        <v>89</v>
      </c>
      <c r="E86" s="148" t="s">
        <v>89</v>
      </c>
      <c r="F86" s="148" t="s">
        <v>89</v>
      </c>
      <c r="H86" s="471" t="s">
        <v>520</v>
      </c>
      <c r="I86" s="472"/>
      <c r="J86" s="152">
        <v>4412.2299999999996</v>
      </c>
      <c r="K86" s="152">
        <v>4564.57</v>
      </c>
      <c r="L86" s="152">
        <v>4770.0600000000004</v>
      </c>
      <c r="M86" s="152">
        <v>4517.1099999999997</v>
      </c>
      <c r="N86" s="152">
        <v>3632.37</v>
      </c>
    </row>
    <row r="87" spans="1:14" ht="15" thickBot="1" x14ac:dyDescent="0.4">
      <c r="A87" s="174" t="s">
        <v>521</v>
      </c>
      <c r="B87" s="148">
        <v>32078</v>
      </c>
      <c r="C87" s="148">
        <v>27846</v>
      </c>
      <c r="D87" s="148">
        <v>59731</v>
      </c>
      <c r="E87" s="148">
        <v>21901</v>
      </c>
      <c r="F87" s="148">
        <v>3712</v>
      </c>
      <c r="H87" s="471" t="s">
        <v>522</v>
      </c>
      <c r="I87" s="472"/>
      <c r="J87" s="152">
        <v>4412.2299999999996</v>
      </c>
      <c r="K87" s="152">
        <v>4564.57</v>
      </c>
      <c r="L87" s="152">
        <v>4770.0600000000004</v>
      </c>
      <c r="M87" s="152">
        <v>4517.1099999999997</v>
      </c>
      <c r="N87" s="152">
        <v>3632.37</v>
      </c>
    </row>
    <row r="88" spans="1:14" ht="12" customHeight="1" thickBot="1" x14ac:dyDescent="0.4">
      <c r="A88" s="181" t="s">
        <v>523</v>
      </c>
      <c r="B88" s="150">
        <v>11584974</v>
      </c>
      <c r="C88" s="150">
        <v>17195815</v>
      </c>
      <c r="D88" s="150">
        <v>17135298</v>
      </c>
      <c r="E88" s="150">
        <v>20249125</v>
      </c>
      <c r="F88" s="150">
        <v>18633613</v>
      </c>
      <c r="H88" s="471" t="s">
        <v>524</v>
      </c>
      <c r="I88" s="472"/>
      <c r="J88" s="150" t="s">
        <v>89</v>
      </c>
      <c r="K88" s="150" t="s">
        <v>89</v>
      </c>
      <c r="L88" s="150" t="s">
        <v>89</v>
      </c>
      <c r="M88" s="150" t="s">
        <v>89</v>
      </c>
      <c r="N88" s="150" t="s">
        <v>89</v>
      </c>
    </row>
    <row r="89" spans="1:14" ht="15" thickBot="1" x14ac:dyDescent="0.4">
      <c r="A89" s="151"/>
      <c r="B89" s="268">
        <f>B81/B103</f>
        <v>4.9487619532654403E-2</v>
      </c>
      <c r="C89" s="268">
        <f>C81/C103</f>
        <v>0.19904168323088905</v>
      </c>
      <c r="D89" s="268">
        <f t="shared" ref="D89:E89" si="4">D81/D103</f>
        <v>0.23912436464329714</v>
      </c>
      <c r="E89" s="268">
        <f t="shared" si="4"/>
        <v>0.28588429822811701</v>
      </c>
      <c r="F89" s="268">
        <f>F81/F103</f>
        <v>0.16527021244326998</v>
      </c>
      <c r="H89" s="471" t="s">
        <v>525</v>
      </c>
      <c r="I89" s="472"/>
      <c r="J89" s="150">
        <v>9220587</v>
      </c>
      <c r="K89" s="150">
        <v>9538488</v>
      </c>
      <c r="L89" s="150">
        <v>9967771</v>
      </c>
      <c r="M89" s="150">
        <v>9440440</v>
      </c>
      <c r="N89" s="150">
        <v>7591396</v>
      </c>
    </row>
    <row r="90" spans="1:14" ht="15" thickBot="1" x14ac:dyDescent="0.4">
      <c r="A90" s="98" t="s">
        <v>526</v>
      </c>
      <c r="B90" s="98"/>
      <c r="C90" s="98"/>
      <c r="D90" s="98"/>
      <c r="E90" s="98"/>
      <c r="F90" s="98"/>
      <c r="H90" s="471" t="s">
        <v>527</v>
      </c>
      <c r="I90" s="472"/>
      <c r="J90" s="150">
        <v>2090</v>
      </c>
      <c r="K90" s="150">
        <v>2090</v>
      </c>
      <c r="L90" s="150">
        <v>2090</v>
      </c>
      <c r="M90" s="150">
        <v>2090</v>
      </c>
      <c r="N90" s="150">
        <v>2090</v>
      </c>
    </row>
    <row r="91" spans="1:14" ht="15" thickBot="1" x14ac:dyDescent="0.4">
      <c r="A91" s="181" t="s">
        <v>528</v>
      </c>
      <c r="B91" s="150" t="s">
        <v>89</v>
      </c>
      <c r="C91" s="150" t="s">
        <v>89</v>
      </c>
      <c r="D91" s="150" t="s">
        <v>89</v>
      </c>
      <c r="E91" s="150" t="s">
        <v>89</v>
      </c>
      <c r="F91" s="150" t="s">
        <v>89</v>
      </c>
      <c r="H91" s="471" t="s">
        <v>529</v>
      </c>
      <c r="I91" s="472"/>
      <c r="J91" s="152">
        <v>4412.2299999999996</v>
      </c>
      <c r="K91" s="152">
        <v>4564.57</v>
      </c>
      <c r="L91" s="152">
        <v>4770.0600000000004</v>
      </c>
      <c r="M91" s="152">
        <v>4517.1099999999997</v>
      </c>
      <c r="N91" s="152">
        <v>3632.37</v>
      </c>
    </row>
    <row r="92" spans="1:14" ht="15" thickBot="1" x14ac:dyDescent="0.4">
      <c r="A92" s="181" t="s">
        <v>530</v>
      </c>
      <c r="B92" s="150" t="s">
        <v>89</v>
      </c>
      <c r="C92" s="150" t="s">
        <v>89</v>
      </c>
      <c r="D92" s="150" t="s">
        <v>89</v>
      </c>
      <c r="E92" s="150" t="s">
        <v>89</v>
      </c>
      <c r="F92" s="150" t="s">
        <v>89</v>
      </c>
      <c r="H92" s="469" t="s">
        <v>531</v>
      </c>
      <c r="I92" s="470"/>
      <c r="J92" s="152">
        <v>4412.2299999999996</v>
      </c>
      <c r="K92" s="152">
        <v>4564.57</v>
      </c>
      <c r="L92" s="152">
        <v>4770.0600000000004</v>
      </c>
      <c r="M92" s="152">
        <v>4517.1099999999997</v>
      </c>
      <c r="N92" s="152">
        <v>3632.37</v>
      </c>
    </row>
    <row r="93" spans="1:14" ht="15" thickBot="1" x14ac:dyDescent="0.4">
      <c r="A93" s="164" t="s">
        <v>532</v>
      </c>
      <c r="B93" s="146">
        <v>17416878</v>
      </c>
      <c r="C93" s="146">
        <v>17416878</v>
      </c>
      <c r="D93" s="146">
        <v>20899554</v>
      </c>
      <c r="E93" s="146">
        <v>20899554</v>
      </c>
      <c r="F93" s="146">
        <v>20899554</v>
      </c>
      <c r="H93" s="504" t="s">
        <v>533</v>
      </c>
      <c r="I93" s="504"/>
      <c r="J93" s="98"/>
      <c r="K93" s="98"/>
      <c r="L93" s="98"/>
      <c r="M93" s="98"/>
      <c r="N93" s="98"/>
    </row>
    <row r="94" spans="1:14" ht="15" thickBot="1" x14ac:dyDescent="0.4">
      <c r="A94" s="174" t="s">
        <v>534</v>
      </c>
      <c r="B94" s="148">
        <v>17416878</v>
      </c>
      <c r="C94" s="148">
        <v>17416878</v>
      </c>
      <c r="D94" s="148">
        <v>20899554</v>
      </c>
      <c r="E94" s="148">
        <v>20899554</v>
      </c>
      <c r="F94" s="148">
        <v>20899554</v>
      </c>
      <c r="H94" s="471" t="s">
        <v>535</v>
      </c>
      <c r="I94" s="472"/>
      <c r="J94" s="152">
        <v>3298.6</v>
      </c>
      <c r="K94" s="152">
        <v>3562.49</v>
      </c>
      <c r="L94" s="152">
        <v>3578.33</v>
      </c>
      <c r="M94" s="152">
        <v>3657.5</v>
      </c>
      <c r="N94" s="152">
        <v>3657.5</v>
      </c>
    </row>
    <row r="95" spans="1:14" ht="15" thickBot="1" x14ac:dyDescent="0.4">
      <c r="A95" s="181" t="s">
        <v>536</v>
      </c>
      <c r="B95" s="150">
        <v>0</v>
      </c>
      <c r="C95" s="150" t="s">
        <v>89</v>
      </c>
      <c r="D95" s="150" t="s">
        <v>89</v>
      </c>
      <c r="E95" s="150">
        <v>34111</v>
      </c>
      <c r="F95" s="150">
        <v>34111</v>
      </c>
      <c r="H95" s="471" t="s">
        <v>537</v>
      </c>
      <c r="I95" s="472"/>
      <c r="J95" s="152" t="s">
        <v>89</v>
      </c>
      <c r="K95" s="152" t="s">
        <v>89</v>
      </c>
      <c r="L95" s="152" t="s">
        <v>89</v>
      </c>
      <c r="M95" s="152" t="s">
        <v>89</v>
      </c>
      <c r="N95" s="152" t="s">
        <v>89</v>
      </c>
    </row>
    <row r="96" spans="1:14" ht="15" thickBot="1" x14ac:dyDescent="0.4">
      <c r="A96" s="181" t="s">
        <v>538</v>
      </c>
      <c r="B96" s="150">
        <v>7155434</v>
      </c>
      <c r="C96" s="150">
        <v>7875462</v>
      </c>
      <c r="D96" s="150">
        <v>6909726</v>
      </c>
      <c r="E96" s="150">
        <v>7594260</v>
      </c>
      <c r="F96" s="150">
        <v>3353468</v>
      </c>
      <c r="H96" s="471" t="s">
        <v>539</v>
      </c>
      <c r="I96" s="472"/>
      <c r="J96" s="152" t="s">
        <v>89</v>
      </c>
      <c r="K96" s="152" t="s">
        <v>89</v>
      </c>
      <c r="L96" s="152" t="s">
        <v>89</v>
      </c>
      <c r="M96" s="152" t="s">
        <v>89</v>
      </c>
      <c r="N96" s="152" t="s">
        <v>89</v>
      </c>
    </row>
    <row r="97" spans="1:14" ht="15" thickBot="1" x14ac:dyDescent="0.4">
      <c r="A97" s="181" t="s">
        <v>540</v>
      </c>
      <c r="B97" s="150">
        <v>-10486</v>
      </c>
      <c r="C97" s="150">
        <v>-11645</v>
      </c>
      <c r="D97" s="150">
        <v>-11645</v>
      </c>
      <c r="E97" s="150">
        <v>0</v>
      </c>
      <c r="F97" s="150" t="s">
        <v>89</v>
      </c>
      <c r="H97" s="471" t="s">
        <v>541</v>
      </c>
      <c r="I97" s="472"/>
      <c r="J97" s="152" t="s">
        <v>89</v>
      </c>
      <c r="K97" s="152" t="s">
        <v>89</v>
      </c>
      <c r="L97" s="152" t="s">
        <v>89</v>
      </c>
      <c r="M97" s="152" t="s">
        <v>89</v>
      </c>
      <c r="N97" s="152" t="s">
        <v>89</v>
      </c>
    </row>
    <row r="98" spans="1:14" ht="15" thickBot="1" x14ac:dyDescent="0.4">
      <c r="A98" s="181" t="s">
        <v>542</v>
      </c>
      <c r="B98" s="150" t="s">
        <v>89</v>
      </c>
      <c r="C98" s="150" t="s">
        <v>89</v>
      </c>
      <c r="D98" s="150" t="s">
        <v>89</v>
      </c>
      <c r="E98" s="150" t="s">
        <v>89</v>
      </c>
      <c r="F98" s="150" t="s">
        <v>89</v>
      </c>
      <c r="H98" s="471" t="s">
        <v>543</v>
      </c>
      <c r="I98" s="472"/>
      <c r="J98" s="152" t="s">
        <v>89</v>
      </c>
      <c r="K98" s="152" t="s">
        <v>89</v>
      </c>
      <c r="L98" s="152" t="s">
        <v>89</v>
      </c>
      <c r="M98" s="152" t="s">
        <v>89</v>
      </c>
      <c r="N98" s="152" t="s">
        <v>89</v>
      </c>
    </row>
    <row r="99" spans="1:14" ht="15" thickBot="1" x14ac:dyDescent="0.4">
      <c r="A99" s="181" t="s">
        <v>544</v>
      </c>
      <c r="B99" s="150" t="s">
        <v>89</v>
      </c>
      <c r="C99" s="150" t="s">
        <v>89</v>
      </c>
      <c r="D99" s="150" t="s">
        <v>89</v>
      </c>
      <c r="E99" s="150" t="s">
        <v>89</v>
      </c>
      <c r="F99" s="150" t="s">
        <v>89</v>
      </c>
      <c r="H99" s="471" t="s">
        <v>545</v>
      </c>
      <c r="I99" s="472"/>
      <c r="J99" s="152" t="s">
        <v>89</v>
      </c>
      <c r="K99" s="152" t="s">
        <v>89</v>
      </c>
      <c r="L99" s="152" t="s">
        <v>89</v>
      </c>
      <c r="M99" s="152" t="s">
        <v>89</v>
      </c>
      <c r="N99" s="152" t="s">
        <v>89</v>
      </c>
    </row>
    <row r="100" spans="1:14" ht="15" thickBot="1" x14ac:dyDescent="0.4">
      <c r="A100" s="164" t="s">
        <v>546</v>
      </c>
      <c r="B100" s="146">
        <v>1219308</v>
      </c>
      <c r="C100" s="146">
        <v>2223363</v>
      </c>
      <c r="D100" s="146">
        <v>3499548</v>
      </c>
      <c r="E100" s="146">
        <v>4555353</v>
      </c>
      <c r="F100" s="146">
        <v>5561918</v>
      </c>
      <c r="H100" s="471" t="s">
        <v>547</v>
      </c>
      <c r="I100" s="472"/>
      <c r="J100" s="152" t="s">
        <v>89</v>
      </c>
      <c r="K100" s="152" t="s">
        <v>89</v>
      </c>
      <c r="L100" s="152" t="s">
        <v>89</v>
      </c>
      <c r="M100" s="152" t="s">
        <v>89</v>
      </c>
      <c r="N100" s="152" t="s">
        <v>89</v>
      </c>
    </row>
    <row r="101" spans="1:14" ht="15" thickBot="1" x14ac:dyDescent="0.4">
      <c r="A101" s="174" t="s">
        <v>548</v>
      </c>
      <c r="B101" s="148">
        <v>27636</v>
      </c>
      <c r="C101" s="148">
        <v>23174</v>
      </c>
      <c r="D101" s="148">
        <v>10647</v>
      </c>
      <c r="E101" s="148">
        <v>254</v>
      </c>
      <c r="F101" s="148">
        <v>92498</v>
      </c>
      <c r="H101" s="471" t="s">
        <v>549</v>
      </c>
      <c r="I101" s="472"/>
      <c r="J101" s="152" t="s">
        <v>89</v>
      </c>
      <c r="K101" s="152" t="s">
        <v>89</v>
      </c>
      <c r="L101" s="152" t="s">
        <v>89</v>
      </c>
      <c r="M101" s="152" t="s">
        <v>89</v>
      </c>
      <c r="N101" s="152" t="s">
        <v>89</v>
      </c>
    </row>
    <row r="102" spans="1:14" ht="15" thickBot="1" x14ac:dyDescent="0.4">
      <c r="A102" s="174" t="s">
        <v>550</v>
      </c>
      <c r="B102" s="148">
        <v>1191672</v>
      </c>
      <c r="C102" s="148">
        <v>2200188</v>
      </c>
      <c r="D102" s="148">
        <v>3488900</v>
      </c>
      <c r="E102" s="148">
        <v>4555100</v>
      </c>
      <c r="F102" s="148">
        <v>5469420</v>
      </c>
      <c r="H102" s="471" t="s">
        <v>551</v>
      </c>
      <c r="I102" s="472"/>
      <c r="J102" s="150">
        <v>6821000</v>
      </c>
      <c r="K102" s="150">
        <v>7836221</v>
      </c>
      <c r="L102" s="150">
        <v>6094822</v>
      </c>
      <c r="M102" s="150">
        <v>7523561</v>
      </c>
      <c r="N102" s="150">
        <v>10972266</v>
      </c>
    </row>
    <row r="103" spans="1:14" ht="15" thickBot="1" x14ac:dyDescent="0.4">
      <c r="A103" s="181" t="s">
        <v>552</v>
      </c>
      <c r="B103" s="150">
        <v>25781135</v>
      </c>
      <c r="C103" s="150">
        <v>27504058</v>
      </c>
      <c r="D103" s="150">
        <v>31297183</v>
      </c>
      <c r="E103" s="150">
        <v>33083279</v>
      </c>
      <c r="F103" s="150">
        <v>29849051</v>
      </c>
      <c r="H103" s="471" t="s">
        <v>553</v>
      </c>
      <c r="I103" s="472"/>
      <c r="J103" s="150" t="s">
        <v>89</v>
      </c>
      <c r="K103" s="150" t="s">
        <v>89</v>
      </c>
      <c r="L103" s="150" t="s">
        <v>89</v>
      </c>
      <c r="M103" s="150" t="s">
        <v>89</v>
      </c>
      <c r="N103" s="150" t="s">
        <v>89</v>
      </c>
    </row>
    <row r="104" spans="1:14" ht="15" thickBot="1" x14ac:dyDescent="0.4">
      <c r="A104" s="151"/>
      <c r="B104" s="151"/>
      <c r="C104" s="151"/>
      <c r="D104" s="151"/>
      <c r="E104" s="151"/>
      <c r="F104" s="151"/>
      <c r="H104" s="471" t="s">
        <v>554</v>
      </c>
      <c r="I104" s="472"/>
      <c r="J104" s="150" t="s">
        <v>89</v>
      </c>
      <c r="K104" s="150" t="s">
        <v>89</v>
      </c>
      <c r="L104" s="150" t="s">
        <v>89</v>
      </c>
      <c r="M104" s="150" t="s">
        <v>89</v>
      </c>
      <c r="N104" s="150" t="s">
        <v>89</v>
      </c>
    </row>
    <row r="105" spans="1:14" ht="12" customHeight="1" thickBot="1" x14ac:dyDescent="0.4">
      <c r="A105" s="181" t="s">
        <v>555</v>
      </c>
      <c r="B105" s="150">
        <v>37366109</v>
      </c>
      <c r="C105" s="150">
        <v>44699873</v>
      </c>
      <c r="D105" s="150">
        <v>48432481</v>
      </c>
      <c r="E105" s="150">
        <v>53332403</v>
      </c>
      <c r="F105" s="150">
        <v>48482664</v>
      </c>
      <c r="H105" s="471" t="s">
        <v>556</v>
      </c>
      <c r="I105" s="472"/>
      <c r="J105" s="152" t="s">
        <v>89</v>
      </c>
      <c r="K105" s="152" t="s">
        <v>89</v>
      </c>
      <c r="L105" s="152" t="s">
        <v>89</v>
      </c>
      <c r="M105" s="152" t="s">
        <v>89</v>
      </c>
      <c r="N105" s="152" t="s">
        <v>89</v>
      </c>
    </row>
    <row r="106" spans="1:14" ht="15" thickBot="1" x14ac:dyDescent="0.4">
      <c r="A106" s="151"/>
      <c r="B106" s="151"/>
      <c r="C106" s="151"/>
      <c r="D106" s="151"/>
      <c r="E106" s="151"/>
      <c r="F106" s="151"/>
      <c r="H106" s="471" t="s">
        <v>557</v>
      </c>
      <c r="I106" s="472"/>
      <c r="J106" s="152" t="s">
        <v>89</v>
      </c>
      <c r="K106" s="152" t="s">
        <v>89</v>
      </c>
      <c r="L106" s="152" t="s">
        <v>89</v>
      </c>
      <c r="M106" s="152" t="s">
        <v>89</v>
      </c>
      <c r="N106" s="152" t="s">
        <v>89</v>
      </c>
    </row>
    <row r="107" spans="1:14" ht="15" thickBot="1" x14ac:dyDescent="0.4">
      <c r="A107" s="98" t="s">
        <v>533</v>
      </c>
      <c r="B107" s="98"/>
      <c r="C107" s="98"/>
      <c r="D107" s="98"/>
      <c r="E107" s="98"/>
      <c r="F107" s="98"/>
      <c r="H107" s="471" t="s">
        <v>558</v>
      </c>
      <c r="I107" s="472"/>
      <c r="J107" s="150" t="s">
        <v>89</v>
      </c>
      <c r="K107" s="150" t="s">
        <v>89</v>
      </c>
      <c r="L107" s="150" t="s">
        <v>89</v>
      </c>
      <c r="M107" s="150" t="s">
        <v>89</v>
      </c>
      <c r="N107" s="150" t="s">
        <v>89</v>
      </c>
    </row>
    <row r="108" spans="1:14" ht="15" thickBot="1" x14ac:dyDescent="0.4">
      <c r="A108" s="181" t="s">
        <v>559</v>
      </c>
      <c r="B108" s="150" t="s">
        <v>89</v>
      </c>
      <c r="C108" s="150" t="s">
        <v>89</v>
      </c>
      <c r="D108" s="150" t="s">
        <v>89</v>
      </c>
      <c r="E108" s="150" t="s">
        <v>89</v>
      </c>
      <c r="F108" s="150" t="s">
        <v>89</v>
      </c>
      <c r="H108" s="471" t="s">
        <v>560</v>
      </c>
      <c r="I108" s="472"/>
      <c r="J108" s="150" t="s">
        <v>89</v>
      </c>
      <c r="K108" s="150" t="s">
        <v>89</v>
      </c>
      <c r="L108" s="150" t="s">
        <v>89</v>
      </c>
      <c r="M108" s="150" t="s">
        <v>89</v>
      </c>
      <c r="N108" s="150" t="s">
        <v>89</v>
      </c>
    </row>
    <row r="109" spans="1:14" ht="15" thickBot="1" x14ac:dyDescent="0.4">
      <c r="A109" s="181" t="s">
        <v>561</v>
      </c>
      <c r="B109" s="150" t="s">
        <v>89</v>
      </c>
      <c r="C109" s="150" t="s">
        <v>89</v>
      </c>
      <c r="D109" s="150" t="s">
        <v>89</v>
      </c>
      <c r="E109" s="150" t="s">
        <v>89</v>
      </c>
      <c r="F109" s="150" t="s">
        <v>89</v>
      </c>
      <c r="H109" s="471" t="s">
        <v>562</v>
      </c>
      <c r="I109" s="472"/>
      <c r="J109" s="150" t="s">
        <v>89</v>
      </c>
      <c r="K109" s="150" t="s">
        <v>89</v>
      </c>
      <c r="L109" s="150" t="s">
        <v>89</v>
      </c>
      <c r="M109" s="150" t="s">
        <v>89</v>
      </c>
      <c r="N109" s="150" t="s">
        <v>89</v>
      </c>
    </row>
    <row r="110" spans="1:14" ht="15" thickBot="1" x14ac:dyDescent="0.4">
      <c r="A110" s="181" t="s">
        <v>563</v>
      </c>
      <c r="B110" s="150" t="s">
        <v>89</v>
      </c>
      <c r="C110" s="150" t="s">
        <v>89</v>
      </c>
      <c r="D110" s="150" t="s">
        <v>89</v>
      </c>
      <c r="E110" s="150" t="s">
        <v>89</v>
      </c>
      <c r="F110" s="150" t="s">
        <v>89</v>
      </c>
      <c r="H110" s="471" t="s">
        <v>564</v>
      </c>
      <c r="I110" s="472"/>
      <c r="J110" s="150" t="s">
        <v>89</v>
      </c>
      <c r="K110" s="150" t="s">
        <v>89</v>
      </c>
      <c r="L110" s="150" t="s">
        <v>89</v>
      </c>
      <c r="M110" s="150" t="s">
        <v>89</v>
      </c>
      <c r="N110" s="150" t="s">
        <v>89</v>
      </c>
    </row>
    <row r="111" spans="1:14" ht="15" thickBot="1" x14ac:dyDescent="0.4">
      <c r="A111" s="164" t="s">
        <v>565</v>
      </c>
      <c r="B111" s="146">
        <v>2090</v>
      </c>
      <c r="C111" s="146">
        <v>2090</v>
      </c>
      <c r="D111" s="146">
        <v>2090</v>
      </c>
      <c r="E111" s="146">
        <v>2090</v>
      </c>
      <c r="F111" s="146">
        <v>2090</v>
      </c>
      <c r="H111" s="471" t="s">
        <v>566</v>
      </c>
      <c r="I111" s="472"/>
      <c r="J111" s="150" t="s">
        <v>89</v>
      </c>
      <c r="K111" s="150" t="s">
        <v>89</v>
      </c>
      <c r="L111" s="150" t="s">
        <v>89</v>
      </c>
      <c r="M111" s="150" t="s">
        <v>89</v>
      </c>
      <c r="N111" s="150" t="s">
        <v>89</v>
      </c>
    </row>
    <row r="112" spans="1:14" ht="15" thickBot="1" x14ac:dyDescent="0.4">
      <c r="A112" s="174" t="s">
        <v>567</v>
      </c>
      <c r="B112" s="148">
        <v>2090</v>
      </c>
      <c r="C112" s="148">
        <v>2090</v>
      </c>
      <c r="D112" s="148">
        <v>2090</v>
      </c>
      <c r="E112" s="148">
        <v>2090</v>
      </c>
      <c r="F112" s="148">
        <v>2090</v>
      </c>
      <c r="H112" s="471" t="s">
        <v>568</v>
      </c>
      <c r="I112" s="472"/>
      <c r="J112" s="150" t="s">
        <v>89</v>
      </c>
      <c r="K112" s="150" t="s">
        <v>89</v>
      </c>
      <c r="L112" s="150" t="s">
        <v>89</v>
      </c>
      <c r="M112" s="150" t="s">
        <v>89</v>
      </c>
      <c r="N112" s="150" t="s">
        <v>89</v>
      </c>
    </row>
    <row r="113" spans="1:14" ht="15" thickBot="1" x14ac:dyDescent="0.4">
      <c r="A113" s="181" t="s">
        <v>569</v>
      </c>
      <c r="B113" s="150">
        <v>0</v>
      </c>
      <c r="C113" s="150">
        <v>0</v>
      </c>
      <c r="D113" s="150">
        <v>0</v>
      </c>
      <c r="E113" s="150">
        <v>0</v>
      </c>
      <c r="F113" s="150">
        <v>0</v>
      </c>
      <c r="H113" s="471" t="s">
        <v>570</v>
      </c>
      <c r="I113" s="472"/>
      <c r="J113" s="150" t="s">
        <v>89</v>
      </c>
      <c r="K113" s="150" t="s">
        <v>89</v>
      </c>
      <c r="L113" s="150" t="s">
        <v>89</v>
      </c>
      <c r="M113" s="150" t="s">
        <v>89</v>
      </c>
      <c r="N113" s="150" t="s">
        <v>89</v>
      </c>
    </row>
    <row r="114" spans="1:14" ht="15" thickBot="1" x14ac:dyDescent="0.4">
      <c r="A114" s="181" t="s">
        <v>571</v>
      </c>
      <c r="B114" s="150" t="s">
        <v>89</v>
      </c>
      <c r="C114" s="150" t="s">
        <v>89</v>
      </c>
      <c r="D114" s="150" t="s">
        <v>89</v>
      </c>
      <c r="E114" s="150" t="s">
        <v>89</v>
      </c>
      <c r="F114" s="150" t="s">
        <v>89</v>
      </c>
      <c r="H114" s="471" t="s">
        <v>572</v>
      </c>
      <c r="I114" s="472"/>
      <c r="J114" s="150" t="s">
        <v>89</v>
      </c>
      <c r="K114" s="150" t="s">
        <v>89</v>
      </c>
      <c r="L114" s="150" t="s">
        <v>89</v>
      </c>
      <c r="M114" s="150" t="s">
        <v>89</v>
      </c>
      <c r="N114" s="150" t="s">
        <v>89</v>
      </c>
    </row>
    <row r="115" spans="1:14" ht="15" thickBot="1" x14ac:dyDescent="0.4">
      <c r="A115" s="181" t="s">
        <v>573</v>
      </c>
      <c r="B115" s="150" t="s">
        <v>89</v>
      </c>
      <c r="C115" s="150" t="s">
        <v>89</v>
      </c>
      <c r="D115" s="150" t="s">
        <v>89</v>
      </c>
      <c r="E115" s="150" t="s">
        <v>89</v>
      </c>
      <c r="F115" s="150" t="s">
        <v>89</v>
      </c>
      <c r="H115" s="471" t="s">
        <v>574</v>
      </c>
      <c r="I115" s="472"/>
      <c r="J115" s="150">
        <v>96611</v>
      </c>
      <c r="K115" s="150">
        <v>110565</v>
      </c>
      <c r="L115" s="150">
        <v>651271</v>
      </c>
      <c r="M115" s="150">
        <v>319121</v>
      </c>
      <c r="N115" s="150">
        <v>333865</v>
      </c>
    </row>
    <row r="116" spans="1:14" ht="15" thickBot="1" x14ac:dyDescent="0.4">
      <c r="A116" s="181" t="s">
        <v>575</v>
      </c>
      <c r="B116" s="150" t="s">
        <v>89</v>
      </c>
      <c r="C116" s="150" t="s">
        <v>89</v>
      </c>
      <c r="D116" s="150" t="s">
        <v>89</v>
      </c>
      <c r="E116" s="150" t="s">
        <v>89</v>
      </c>
      <c r="F116" s="150" t="s">
        <v>89</v>
      </c>
      <c r="H116" s="471" t="s">
        <v>576</v>
      </c>
      <c r="I116" s="472"/>
      <c r="J116" s="150">
        <v>12148307</v>
      </c>
      <c r="K116" s="150">
        <v>12906275</v>
      </c>
      <c r="L116" s="150">
        <v>14169807</v>
      </c>
      <c r="M116" s="150">
        <v>13241356</v>
      </c>
      <c r="N116" s="150">
        <v>10829399</v>
      </c>
    </row>
    <row r="117" spans="1:14" ht="15" thickBot="1" x14ac:dyDescent="0.4">
      <c r="A117" s="181" t="s">
        <v>577</v>
      </c>
      <c r="B117" s="150" t="s">
        <v>89</v>
      </c>
      <c r="C117" s="150" t="s">
        <v>89</v>
      </c>
      <c r="D117" s="150" t="s">
        <v>89</v>
      </c>
      <c r="E117" s="150" t="s">
        <v>89</v>
      </c>
      <c r="F117" s="150" t="s">
        <v>89</v>
      </c>
      <c r="H117" s="471" t="s">
        <v>578</v>
      </c>
      <c r="I117" s="472"/>
      <c r="J117" s="150">
        <v>6080</v>
      </c>
      <c r="K117" s="150">
        <v>7464</v>
      </c>
      <c r="L117" s="150">
        <v>7282</v>
      </c>
      <c r="M117" s="150">
        <v>13038</v>
      </c>
      <c r="N117" s="150">
        <v>16140</v>
      </c>
    </row>
    <row r="118" spans="1:14" ht="15" thickBot="1" x14ac:dyDescent="0.4">
      <c r="A118" s="181" t="s">
        <v>579</v>
      </c>
      <c r="B118" s="150" t="s">
        <v>89</v>
      </c>
      <c r="C118" s="150" t="s">
        <v>89</v>
      </c>
      <c r="D118" s="150" t="s">
        <v>89</v>
      </c>
      <c r="E118" s="150" t="s">
        <v>89</v>
      </c>
      <c r="F118" s="150" t="s">
        <v>89</v>
      </c>
      <c r="H118" s="471" t="s">
        <v>580</v>
      </c>
      <c r="I118" s="472"/>
      <c r="J118" s="150">
        <v>1852146</v>
      </c>
      <c r="K118" s="150">
        <v>2248842</v>
      </c>
      <c r="L118" s="150">
        <v>2290086</v>
      </c>
      <c r="M118" s="150">
        <v>2302737</v>
      </c>
      <c r="N118" s="150">
        <v>1934100</v>
      </c>
    </row>
    <row r="119" spans="1:14" ht="15" thickBot="1" x14ac:dyDescent="0.4">
      <c r="A119" s="181" t="s">
        <v>581</v>
      </c>
      <c r="B119" s="150" t="s">
        <v>89</v>
      </c>
      <c r="C119" s="150" t="s">
        <v>89</v>
      </c>
      <c r="D119" s="150" t="s">
        <v>89</v>
      </c>
      <c r="E119" s="150" t="s">
        <v>89</v>
      </c>
      <c r="F119" s="150" t="s">
        <v>89</v>
      </c>
      <c r="H119" s="471" t="s">
        <v>582</v>
      </c>
      <c r="I119" s="472"/>
      <c r="J119" s="150">
        <v>10296161</v>
      </c>
      <c r="K119" s="150">
        <v>10657432</v>
      </c>
      <c r="L119" s="150">
        <v>11879721</v>
      </c>
      <c r="M119" s="150">
        <v>10938619</v>
      </c>
      <c r="N119" s="150">
        <v>8895300</v>
      </c>
    </row>
    <row r="120" spans="1:14" ht="15" thickBot="1" x14ac:dyDescent="0.4">
      <c r="A120" s="181" t="s">
        <v>583</v>
      </c>
      <c r="B120" s="150" t="s">
        <v>89</v>
      </c>
      <c r="C120" s="150" t="s">
        <v>89</v>
      </c>
      <c r="D120" s="150" t="s">
        <v>89</v>
      </c>
      <c r="E120" s="150" t="s">
        <v>89</v>
      </c>
      <c r="F120" s="150" t="s">
        <v>89</v>
      </c>
      <c r="H120" s="471" t="s">
        <v>584</v>
      </c>
      <c r="I120" s="472"/>
      <c r="J120" s="150">
        <v>9311119</v>
      </c>
      <c r="K120" s="150">
        <v>9641589</v>
      </c>
      <c r="L120" s="150">
        <v>10611761</v>
      </c>
      <c r="M120" s="150">
        <v>9746523</v>
      </c>
      <c r="N120" s="150">
        <v>7909121</v>
      </c>
    </row>
    <row r="121" spans="1:14" ht="15" thickBot="1" x14ac:dyDescent="0.4">
      <c r="A121" s="181" t="s">
        <v>585</v>
      </c>
      <c r="B121" s="150" t="s">
        <v>89</v>
      </c>
      <c r="C121" s="150" t="s">
        <v>89</v>
      </c>
      <c r="D121" s="150" t="s">
        <v>89</v>
      </c>
      <c r="E121" s="150" t="s">
        <v>89</v>
      </c>
      <c r="F121" s="150" t="s">
        <v>89</v>
      </c>
      <c r="H121" s="471" t="s">
        <v>586</v>
      </c>
      <c r="I121" s="472"/>
      <c r="J121" s="152">
        <v>4455.55</v>
      </c>
      <c r="K121" s="152">
        <v>4613.91</v>
      </c>
      <c r="L121" s="152">
        <v>5078.24</v>
      </c>
      <c r="M121" s="152">
        <v>4663.5600000000004</v>
      </c>
      <c r="N121" s="152">
        <v>3784.39</v>
      </c>
    </row>
    <row r="122" spans="1:14" ht="15" thickBot="1" x14ac:dyDescent="0.4">
      <c r="A122" s="181" t="s">
        <v>587</v>
      </c>
      <c r="B122" s="150" t="s">
        <v>89</v>
      </c>
      <c r="C122" s="150" t="s">
        <v>89</v>
      </c>
      <c r="D122" s="150" t="s">
        <v>89</v>
      </c>
      <c r="E122" s="150" t="s">
        <v>89</v>
      </c>
      <c r="F122" s="150" t="s">
        <v>89</v>
      </c>
      <c r="H122" s="471" t="s">
        <v>588</v>
      </c>
      <c r="I122" s="472"/>
      <c r="J122" s="152">
        <v>4455.55</v>
      </c>
      <c r="K122" s="152">
        <v>4613.91</v>
      </c>
      <c r="L122" s="152">
        <v>5078.24</v>
      </c>
      <c r="M122" s="152">
        <v>4663.5600000000004</v>
      </c>
      <c r="N122" s="152">
        <v>3784.39</v>
      </c>
    </row>
    <row r="123" spans="1:14" ht="15" thickBot="1" x14ac:dyDescent="0.4">
      <c r="A123" s="181" t="s">
        <v>589</v>
      </c>
      <c r="B123" s="150" t="s">
        <v>89</v>
      </c>
      <c r="C123" s="150" t="s">
        <v>89</v>
      </c>
      <c r="D123" s="150" t="s">
        <v>89</v>
      </c>
      <c r="E123" s="150" t="s">
        <v>89</v>
      </c>
      <c r="F123" s="150" t="s">
        <v>89</v>
      </c>
      <c r="H123" s="471" t="s">
        <v>590</v>
      </c>
      <c r="I123" s="472"/>
      <c r="J123" s="152" t="s">
        <v>89</v>
      </c>
      <c r="K123" s="152" t="s">
        <v>89</v>
      </c>
      <c r="L123" s="152" t="s">
        <v>89</v>
      </c>
      <c r="M123" s="152" t="s">
        <v>89</v>
      </c>
      <c r="N123" s="152" t="s">
        <v>89</v>
      </c>
    </row>
    <row r="124" spans="1:14" ht="15" thickBot="1" x14ac:dyDescent="0.4">
      <c r="A124" s="181" t="s">
        <v>591</v>
      </c>
      <c r="B124" s="150" t="s">
        <v>89</v>
      </c>
      <c r="C124" s="150" t="s">
        <v>89</v>
      </c>
      <c r="D124" s="150" t="s">
        <v>89</v>
      </c>
      <c r="E124" s="150" t="s">
        <v>89</v>
      </c>
      <c r="F124" s="150" t="s">
        <v>89</v>
      </c>
      <c r="H124" s="471" t="s">
        <v>592</v>
      </c>
      <c r="I124" s="472"/>
      <c r="J124" s="150" t="s">
        <v>89</v>
      </c>
      <c r="K124" s="150" t="s">
        <v>89</v>
      </c>
      <c r="L124" s="150" t="s">
        <v>89</v>
      </c>
      <c r="M124" s="150" t="s">
        <v>89</v>
      </c>
      <c r="N124" s="150" t="s">
        <v>89</v>
      </c>
    </row>
    <row r="125" spans="1:14" ht="15" thickBot="1" x14ac:dyDescent="0.4">
      <c r="A125" s="181" t="s">
        <v>593</v>
      </c>
      <c r="B125" s="150" t="s">
        <v>89</v>
      </c>
      <c r="C125" s="150">
        <v>2227197</v>
      </c>
      <c r="D125" s="150">
        <v>2349939</v>
      </c>
      <c r="E125" s="150">
        <v>2766835</v>
      </c>
      <c r="F125" s="150">
        <v>2967467</v>
      </c>
      <c r="H125" s="471" t="s">
        <v>594</v>
      </c>
      <c r="I125" s="472"/>
      <c r="J125" s="150">
        <v>56922</v>
      </c>
      <c r="K125" s="150">
        <v>67952</v>
      </c>
      <c r="L125" s="150">
        <v>608149</v>
      </c>
      <c r="M125" s="150">
        <v>245540</v>
      </c>
      <c r="N125" s="150">
        <v>245540</v>
      </c>
    </row>
    <row r="126" spans="1:14" ht="15" thickBot="1" x14ac:dyDescent="0.4">
      <c r="A126" s="181" t="s">
        <v>595</v>
      </c>
      <c r="B126" s="150">
        <v>25781135</v>
      </c>
      <c r="C126" s="150">
        <v>29731255</v>
      </c>
      <c r="D126" s="150">
        <v>33647122</v>
      </c>
      <c r="E126" s="150">
        <v>35850114</v>
      </c>
      <c r="F126" s="150">
        <v>32816518</v>
      </c>
      <c r="H126" s="471" t="s">
        <v>596</v>
      </c>
      <c r="I126" s="472"/>
      <c r="J126" s="150">
        <v>15948</v>
      </c>
      <c r="K126" s="150">
        <v>21398</v>
      </c>
      <c r="L126" s="150">
        <v>183586</v>
      </c>
      <c r="M126" s="150">
        <v>53177</v>
      </c>
      <c r="N126" s="150">
        <v>54120</v>
      </c>
    </row>
    <row r="127" spans="1:14" ht="15" thickBot="1" x14ac:dyDescent="0.4">
      <c r="A127" s="181" t="s">
        <v>597</v>
      </c>
      <c r="B127" s="150">
        <v>8082</v>
      </c>
      <c r="C127" s="150">
        <v>9803</v>
      </c>
      <c r="D127" s="150">
        <v>9361</v>
      </c>
      <c r="E127" s="150">
        <v>9732</v>
      </c>
      <c r="F127" s="150">
        <v>9506</v>
      </c>
      <c r="H127" s="471" t="s">
        <v>598</v>
      </c>
      <c r="I127" s="472"/>
      <c r="J127" s="150" t="s">
        <v>89</v>
      </c>
      <c r="K127" s="150" t="s">
        <v>89</v>
      </c>
      <c r="L127" s="150" t="s">
        <v>89</v>
      </c>
      <c r="M127" s="150" t="s">
        <v>89</v>
      </c>
      <c r="N127" s="150" t="s">
        <v>89</v>
      </c>
    </row>
    <row r="128" spans="1:14" ht="15" thickBot="1" x14ac:dyDescent="0.4">
      <c r="A128" s="181" t="s">
        <v>599</v>
      </c>
      <c r="B128" s="150" t="s">
        <v>89</v>
      </c>
      <c r="C128" s="150" t="s">
        <v>89</v>
      </c>
      <c r="D128" s="150" t="s">
        <v>89</v>
      </c>
      <c r="E128" s="150" t="s">
        <v>89</v>
      </c>
      <c r="F128" s="150" t="s">
        <v>89</v>
      </c>
      <c r="H128" s="471" t="s">
        <v>600</v>
      </c>
      <c r="I128" s="472"/>
      <c r="J128" s="150">
        <v>1604335</v>
      </c>
      <c r="K128" s="150">
        <v>1923064</v>
      </c>
      <c r="L128" s="150">
        <v>2151705</v>
      </c>
      <c r="M128" s="150">
        <v>2064538</v>
      </c>
      <c r="N128" s="150">
        <v>2038874</v>
      </c>
    </row>
    <row r="129" spans="1:14" ht="15" thickBot="1" x14ac:dyDescent="0.4">
      <c r="A129" s="181" t="s">
        <v>601</v>
      </c>
      <c r="B129" s="150" t="s">
        <v>89</v>
      </c>
      <c r="C129" s="150" t="s">
        <v>89</v>
      </c>
      <c r="D129" s="150" t="s">
        <v>89</v>
      </c>
      <c r="E129" s="150" t="s">
        <v>89</v>
      </c>
      <c r="F129" s="150" t="s">
        <v>89</v>
      </c>
      <c r="H129" s="471" t="s">
        <v>602</v>
      </c>
      <c r="I129" s="472"/>
      <c r="J129" s="150" t="s">
        <v>89</v>
      </c>
      <c r="K129" s="150" t="s">
        <v>89</v>
      </c>
      <c r="L129" s="150" t="s">
        <v>89</v>
      </c>
      <c r="M129" s="150" t="s">
        <v>89</v>
      </c>
      <c r="N129" s="150" t="s">
        <v>89</v>
      </c>
    </row>
    <row r="130" spans="1:14" ht="15" thickBot="1" x14ac:dyDescent="0.4">
      <c r="A130" s="181" t="s">
        <v>603</v>
      </c>
      <c r="B130" s="150" t="s">
        <v>89</v>
      </c>
      <c r="C130" s="150" t="s">
        <v>89</v>
      </c>
      <c r="D130" s="150" t="s">
        <v>89</v>
      </c>
      <c r="E130" s="150" t="s">
        <v>89</v>
      </c>
      <c r="F130" s="150" t="s">
        <v>89</v>
      </c>
      <c r="H130" s="471" t="s">
        <v>604</v>
      </c>
      <c r="I130" s="472"/>
      <c r="J130" s="150">
        <v>51367</v>
      </c>
      <c r="K130" s="150">
        <v>108825</v>
      </c>
      <c r="L130" s="150">
        <v>143818</v>
      </c>
      <c r="M130" s="150">
        <v>88799</v>
      </c>
      <c r="N130" s="150">
        <v>166039</v>
      </c>
    </row>
    <row r="131" spans="1:14" ht="15" thickBot="1" x14ac:dyDescent="0.4">
      <c r="A131" s="181" t="s">
        <v>605</v>
      </c>
      <c r="B131" s="150" t="s">
        <v>89</v>
      </c>
      <c r="C131" s="150" t="s">
        <v>89</v>
      </c>
      <c r="D131" s="150" t="s">
        <v>89</v>
      </c>
      <c r="E131" s="150" t="s">
        <v>89</v>
      </c>
      <c r="F131" s="150" t="s">
        <v>89</v>
      </c>
      <c r="H131" s="471" t="s">
        <v>606</v>
      </c>
      <c r="I131" s="472"/>
      <c r="J131" s="150" t="s">
        <v>89</v>
      </c>
      <c r="K131" s="150" t="s">
        <v>89</v>
      </c>
      <c r="L131" s="150" t="s">
        <v>89</v>
      </c>
      <c r="M131" s="150" t="s">
        <v>89</v>
      </c>
      <c r="N131" s="150" t="s">
        <v>89</v>
      </c>
    </row>
    <row r="132" spans="1:14" ht="15" thickBot="1" x14ac:dyDescent="0.4">
      <c r="A132" s="181" t="s">
        <v>607</v>
      </c>
      <c r="B132" s="150">
        <v>538340</v>
      </c>
      <c r="C132" s="150">
        <v>2366060</v>
      </c>
      <c r="D132" s="150">
        <v>2058548</v>
      </c>
      <c r="E132" s="150" t="s">
        <v>89</v>
      </c>
      <c r="F132" s="150" t="s">
        <v>89</v>
      </c>
      <c r="H132" s="471" t="s">
        <v>608</v>
      </c>
      <c r="I132" s="472"/>
      <c r="J132" s="150" t="s">
        <v>89</v>
      </c>
      <c r="K132" s="150" t="s">
        <v>89</v>
      </c>
      <c r="L132" s="150" t="s">
        <v>89</v>
      </c>
      <c r="M132" s="150" t="s">
        <v>89</v>
      </c>
      <c r="N132" s="150" t="s">
        <v>89</v>
      </c>
    </row>
    <row r="133" spans="1:14" ht="15" thickBot="1" x14ac:dyDescent="0.4">
      <c r="A133" s="181" t="s">
        <v>609</v>
      </c>
      <c r="B133" s="150" t="s">
        <v>89</v>
      </c>
      <c r="C133" s="150" t="s">
        <v>89</v>
      </c>
      <c r="D133" s="150" t="s">
        <v>89</v>
      </c>
      <c r="E133" s="150">
        <v>245540</v>
      </c>
      <c r="F133" s="150">
        <v>245540</v>
      </c>
      <c r="H133" s="471" t="s">
        <v>610</v>
      </c>
      <c r="I133" s="472"/>
      <c r="J133" s="150" t="s">
        <v>89</v>
      </c>
      <c r="K133" s="150" t="s">
        <v>89</v>
      </c>
      <c r="L133" s="150" t="s">
        <v>89</v>
      </c>
      <c r="M133" s="150" t="s">
        <v>89</v>
      </c>
      <c r="N133" s="150" t="s">
        <v>89</v>
      </c>
    </row>
    <row r="134" spans="1:14" ht="15" thickBot="1" x14ac:dyDescent="0.4">
      <c r="A134" s="181" t="s">
        <v>611</v>
      </c>
      <c r="B134" s="150">
        <v>157987</v>
      </c>
      <c r="C134" s="150">
        <v>148034</v>
      </c>
      <c r="D134" s="150">
        <v>202128</v>
      </c>
      <c r="E134" s="150">
        <v>255161</v>
      </c>
      <c r="F134" s="150">
        <v>310582</v>
      </c>
      <c r="H134" s="471" t="s">
        <v>612</v>
      </c>
      <c r="I134" s="472"/>
      <c r="J134" s="150" t="s">
        <v>89</v>
      </c>
      <c r="K134" s="150" t="s">
        <v>89</v>
      </c>
      <c r="L134" s="150" t="s">
        <v>89</v>
      </c>
      <c r="M134" s="150" t="s">
        <v>89</v>
      </c>
      <c r="N134" s="150" t="s">
        <v>89</v>
      </c>
    </row>
    <row r="135" spans="1:14" ht="15" thickBot="1" x14ac:dyDescent="0.4">
      <c r="A135" s="181" t="s">
        <v>613</v>
      </c>
      <c r="B135" s="150" t="s">
        <v>89</v>
      </c>
      <c r="C135" s="150" t="s">
        <v>89</v>
      </c>
      <c r="D135" s="150" t="s">
        <v>89</v>
      </c>
      <c r="E135" s="150" t="s">
        <v>89</v>
      </c>
      <c r="F135" s="150" t="s">
        <v>89</v>
      </c>
      <c r="H135" s="471" t="s">
        <v>614</v>
      </c>
      <c r="I135" s="472"/>
      <c r="J135" s="150" t="s">
        <v>89</v>
      </c>
      <c r="K135" s="150" t="s">
        <v>89</v>
      </c>
      <c r="L135" s="150" t="s">
        <v>89</v>
      </c>
      <c r="M135" s="150" t="s">
        <v>89</v>
      </c>
      <c r="N135" s="150" t="s">
        <v>89</v>
      </c>
    </row>
    <row r="136" spans="1:14" ht="15" thickBot="1" x14ac:dyDescent="0.4">
      <c r="A136" s="181" t="s">
        <v>615</v>
      </c>
      <c r="B136" s="150" t="s">
        <v>89</v>
      </c>
      <c r="C136" s="150" t="s">
        <v>89</v>
      </c>
      <c r="D136" s="150" t="s">
        <v>89</v>
      </c>
      <c r="E136" s="150" t="s">
        <v>89</v>
      </c>
      <c r="F136" s="150" t="s">
        <v>89</v>
      </c>
      <c r="H136" s="471" t="s">
        <v>616</v>
      </c>
      <c r="I136" s="472"/>
      <c r="J136" s="150">
        <v>1033958</v>
      </c>
      <c r="K136" s="150">
        <v>1256211</v>
      </c>
      <c r="L136" s="150">
        <v>1205454</v>
      </c>
      <c r="M136" s="150">
        <v>1234042</v>
      </c>
      <c r="N136" s="150">
        <v>742460</v>
      </c>
    </row>
    <row r="137" spans="1:14" ht="15" thickBot="1" x14ac:dyDescent="0.4">
      <c r="A137" s="181" t="s">
        <v>617</v>
      </c>
      <c r="B137" s="150" t="s">
        <v>89</v>
      </c>
      <c r="C137" s="150" t="s">
        <v>89</v>
      </c>
      <c r="D137" s="150" t="s">
        <v>89</v>
      </c>
      <c r="E137" s="150" t="s">
        <v>89</v>
      </c>
      <c r="F137" s="150" t="s">
        <v>89</v>
      </c>
      <c r="H137" s="471" t="s">
        <v>618</v>
      </c>
      <c r="I137" s="472"/>
      <c r="J137" s="150" t="s">
        <v>89</v>
      </c>
      <c r="K137" s="150" t="s">
        <v>89</v>
      </c>
      <c r="L137" s="150" t="s">
        <v>89</v>
      </c>
      <c r="M137" s="150" t="s">
        <v>89</v>
      </c>
      <c r="N137" s="150" t="s">
        <v>89</v>
      </c>
    </row>
    <row r="138" spans="1:14" ht="15" thickBot="1" x14ac:dyDescent="0.4">
      <c r="A138" s="181" t="s">
        <v>619</v>
      </c>
      <c r="B138" s="150" t="s">
        <v>89</v>
      </c>
      <c r="C138" s="150" t="s">
        <v>89</v>
      </c>
      <c r="D138" s="150" t="s">
        <v>89</v>
      </c>
      <c r="E138" s="150" t="s">
        <v>89</v>
      </c>
      <c r="F138" s="150" t="s">
        <v>89</v>
      </c>
      <c r="H138" s="471" t="s">
        <v>620</v>
      </c>
      <c r="I138" s="472"/>
      <c r="J138" s="150" t="s">
        <v>89</v>
      </c>
      <c r="K138" s="150" t="s">
        <v>89</v>
      </c>
      <c r="L138" s="150" t="s">
        <v>89</v>
      </c>
      <c r="M138" s="150" t="s">
        <v>89</v>
      </c>
      <c r="N138" s="150" t="s">
        <v>89</v>
      </c>
    </row>
    <row r="139" spans="1:14" ht="15" thickBot="1" x14ac:dyDescent="0.4">
      <c r="A139" s="181" t="s">
        <v>621</v>
      </c>
      <c r="B139" s="150" t="s">
        <v>89</v>
      </c>
      <c r="C139" s="150" t="s">
        <v>89</v>
      </c>
      <c r="D139" s="150" t="s">
        <v>89</v>
      </c>
      <c r="E139" s="150" t="s">
        <v>89</v>
      </c>
      <c r="F139" s="150" t="s">
        <v>89</v>
      </c>
      <c r="H139" s="471" t="s">
        <v>622</v>
      </c>
      <c r="I139" s="472"/>
      <c r="J139" s="150" t="s">
        <v>89</v>
      </c>
      <c r="K139" s="150" t="s">
        <v>89</v>
      </c>
      <c r="L139" s="150" t="s">
        <v>89</v>
      </c>
      <c r="M139" s="150" t="s">
        <v>89</v>
      </c>
      <c r="N139" s="150" t="s">
        <v>89</v>
      </c>
    </row>
    <row r="140" spans="1:14" ht="15" thickBot="1" x14ac:dyDescent="0.4">
      <c r="A140" s="181" t="s">
        <v>623</v>
      </c>
      <c r="B140" s="150" t="s">
        <v>89</v>
      </c>
      <c r="C140" s="150" t="s">
        <v>89</v>
      </c>
      <c r="D140" s="150" t="s">
        <v>89</v>
      </c>
      <c r="E140" s="150" t="s">
        <v>89</v>
      </c>
      <c r="F140" s="150" t="s">
        <v>89</v>
      </c>
      <c r="H140" s="471" t="s">
        <v>624</v>
      </c>
      <c r="I140" s="472"/>
      <c r="J140" s="150" t="s">
        <v>89</v>
      </c>
      <c r="K140" s="150" t="s">
        <v>89</v>
      </c>
      <c r="L140" s="150" t="s">
        <v>89</v>
      </c>
      <c r="M140" s="150" t="s">
        <v>89</v>
      </c>
      <c r="N140" s="150" t="s">
        <v>89</v>
      </c>
    </row>
    <row r="141" spans="1:14" ht="15" thickBot="1" x14ac:dyDescent="0.4">
      <c r="A141" s="181" t="s">
        <v>625</v>
      </c>
      <c r="B141" s="150" t="s">
        <v>89</v>
      </c>
      <c r="C141" s="150" t="s">
        <v>89</v>
      </c>
      <c r="D141" s="150" t="s">
        <v>89</v>
      </c>
      <c r="E141" s="150" t="s">
        <v>89</v>
      </c>
      <c r="F141" s="150" t="s">
        <v>89</v>
      </c>
      <c r="H141" s="471" t="s">
        <v>626</v>
      </c>
      <c r="I141" s="472"/>
      <c r="J141" s="150" t="s">
        <v>89</v>
      </c>
      <c r="K141" s="150" t="s">
        <v>89</v>
      </c>
      <c r="L141" s="150" t="s">
        <v>89</v>
      </c>
      <c r="M141" s="150" t="s">
        <v>89</v>
      </c>
      <c r="N141" s="150" t="s">
        <v>89</v>
      </c>
    </row>
    <row r="142" spans="1:14" ht="15" thickBot="1" x14ac:dyDescent="0.4">
      <c r="A142" s="181" t="s">
        <v>627</v>
      </c>
      <c r="B142" s="150" t="s">
        <v>89</v>
      </c>
      <c r="C142" s="150" t="s">
        <v>89</v>
      </c>
      <c r="D142" s="150" t="s">
        <v>89</v>
      </c>
      <c r="E142" s="150" t="s">
        <v>89</v>
      </c>
      <c r="F142" s="150" t="s">
        <v>89</v>
      </c>
      <c r="H142" s="471" t="s">
        <v>628</v>
      </c>
      <c r="I142" s="472"/>
      <c r="J142" s="150" t="s">
        <v>89</v>
      </c>
      <c r="K142" s="150" t="s">
        <v>89</v>
      </c>
      <c r="L142" s="150" t="s">
        <v>89</v>
      </c>
      <c r="M142" s="150" t="s">
        <v>89</v>
      </c>
      <c r="N142" s="150" t="s">
        <v>89</v>
      </c>
    </row>
    <row r="143" spans="1:14" ht="15" thickBot="1" x14ac:dyDescent="0.4">
      <c r="A143" s="181" t="s">
        <v>629</v>
      </c>
      <c r="B143" s="150" t="s">
        <v>89</v>
      </c>
      <c r="C143" s="150" t="s">
        <v>89</v>
      </c>
      <c r="D143" s="150" t="s">
        <v>89</v>
      </c>
      <c r="E143" s="150" t="s">
        <v>89</v>
      </c>
      <c r="F143" s="150" t="s">
        <v>89</v>
      </c>
      <c r="H143" s="471" t="s">
        <v>630</v>
      </c>
      <c r="I143" s="472"/>
      <c r="J143" s="150" t="s">
        <v>89</v>
      </c>
      <c r="K143" s="150" t="s">
        <v>89</v>
      </c>
      <c r="L143" s="150" t="s">
        <v>89</v>
      </c>
      <c r="M143" s="150" t="s">
        <v>89</v>
      </c>
      <c r="N143" s="150" t="s">
        <v>89</v>
      </c>
    </row>
    <row r="144" spans="1:14" ht="15" thickBot="1" x14ac:dyDescent="0.4">
      <c r="A144" s="181" t="s">
        <v>631</v>
      </c>
      <c r="B144" s="150" t="s">
        <v>89</v>
      </c>
      <c r="C144" s="150" t="s">
        <v>89</v>
      </c>
      <c r="D144" s="150" t="s">
        <v>89</v>
      </c>
      <c r="E144" s="150" t="s">
        <v>89</v>
      </c>
      <c r="F144" s="150" t="s">
        <v>89</v>
      </c>
      <c r="H144" s="471" t="s">
        <v>632</v>
      </c>
      <c r="I144" s="472"/>
      <c r="J144" s="150" t="s">
        <v>89</v>
      </c>
      <c r="K144" s="150">
        <v>10896301</v>
      </c>
      <c r="L144" s="150">
        <v>11208632</v>
      </c>
      <c r="M144" s="150">
        <v>10462408</v>
      </c>
      <c r="N144" s="150">
        <v>9915583</v>
      </c>
    </row>
    <row r="145" spans="1:14" ht="15" thickBot="1" x14ac:dyDescent="0.4">
      <c r="A145" s="181" t="s">
        <v>633</v>
      </c>
      <c r="B145" s="150" t="s">
        <v>89</v>
      </c>
      <c r="C145" s="150" t="s">
        <v>89</v>
      </c>
      <c r="D145" s="150" t="s">
        <v>89</v>
      </c>
      <c r="E145" s="150" t="s">
        <v>89</v>
      </c>
      <c r="F145" s="150" t="s">
        <v>89</v>
      </c>
      <c r="H145" s="471" t="s">
        <v>634</v>
      </c>
      <c r="I145" s="472"/>
      <c r="J145" s="150">
        <v>22434</v>
      </c>
      <c r="K145" s="150">
        <v>-5717</v>
      </c>
      <c r="L145" s="150">
        <v>3882</v>
      </c>
      <c r="M145" s="150">
        <v>-45044</v>
      </c>
      <c r="N145" s="150">
        <v>-24476</v>
      </c>
    </row>
    <row r="146" spans="1:14" ht="15" thickBot="1" x14ac:dyDescent="0.4">
      <c r="A146" s="181" t="s">
        <v>635</v>
      </c>
      <c r="B146" s="150" t="s">
        <v>89</v>
      </c>
      <c r="C146" s="150" t="s">
        <v>89</v>
      </c>
      <c r="D146" s="150" t="s">
        <v>89</v>
      </c>
      <c r="E146" s="150" t="s">
        <v>89</v>
      </c>
      <c r="F146" s="150" t="s">
        <v>89</v>
      </c>
      <c r="H146" s="471" t="s">
        <v>636</v>
      </c>
      <c r="I146" s="472"/>
      <c r="J146" s="150">
        <v>21651</v>
      </c>
      <c r="K146" s="150">
        <v>26844</v>
      </c>
      <c r="L146" s="150">
        <v>-136795</v>
      </c>
      <c r="M146" s="150">
        <v>-100059</v>
      </c>
      <c r="N146" s="150">
        <v>-61552</v>
      </c>
    </row>
    <row r="147" spans="1:14" ht="15" thickBot="1" x14ac:dyDescent="0.4">
      <c r="A147" s="181" t="s">
        <v>637</v>
      </c>
      <c r="B147" s="150" t="s">
        <v>89</v>
      </c>
      <c r="C147" s="150" t="s">
        <v>89</v>
      </c>
      <c r="D147" s="150" t="s">
        <v>89</v>
      </c>
      <c r="E147" s="150" t="s">
        <v>89</v>
      </c>
      <c r="F147" s="150" t="s">
        <v>89</v>
      </c>
      <c r="H147" s="471" t="s">
        <v>638</v>
      </c>
      <c r="I147" s="472"/>
      <c r="J147" s="150" t="s">
        <v>89</v>
      </c>
      <c r="K147" s="150" t="s">
        <v>89</v>
      </c>
      <c r="L147" s="150" t="s">
        <v>89</v>
      </c>
      <c r="M147" s="150" t="s">
        <v>89</v>
      </c>
      <c r="N147" s="150" t="s">
        <v>89</v>
      </c>
    </row>
    <row r="148" spans="1:14" ht="15" thickBot="1" x14ac:dyDescent="0.4">
      <c r="A148" s="181" t="s">
        <v>639</v>
      </c>
      <c r="B148" s="150" t="s">
        <v>89</v>
      </c>
      <c r="C148" s="150" t="s">
        <v>89</v>
      </c>
      <c r="D148" s="150" t="s">
        <v>89</v>
      </c>
      <c r="E148" s="150" t="s">
        <v>89</v>
      </c>
      <c r="F148" s="150" t="s">
        <v>89</v>
      </c>
      <c r="H148" s="471" t="s">
        <v>640</v>
      </c>
      <c r="I148" s="472"/>
      <c r="J148" s="150" t="s">
        <v>89</v>
      </c>
      <c r="K148" s="150" t="s">
        <v>89</v>
      </c>
      <c r="L148" s="150" t="s">
        <v>89</v>
      </c>
      <c r="M148" s="150" t="s">
        <v>89</v>
      </c>
      <c r="N148" s="150" t="s">
        <v>89</v>
      </c>
    </row>
    <row r="149" spans="1:14" ht="15" thickBot="1" x14ac:dyDescent="0.4">
      <c r="A149" s="181" t="s">
        <v>641</v>
      </c>
      <c r="B149" s="150" t="s">
        <v>89</v>
      </c>
      <c r="C149" s="150" t="s">
        <v>89</v>
      </c>
      <c r="D149" s="150" t="s">
        <v>89</v>
      </c>
      <c r="E149" s="150" t="s">
        <v>89</v>
      </c>
      <c r="F149" s="150" t="s">
        <v>89</v>
      </c>
      <c r="H149" s="471" t="s">
        <v>642</v>
      </c>
      <c r="I149" s="472"/>
      <c r="J149" s="150" t="s">
        <v>89</v>
      </c>
      <c r="K149" s="150" t="s">
        <v>89</v>
      </c>
      <c r="L149" s="150" t="s">
        <v>89</v>
      </c>
      <c r="M149" s="150" t="s">
        <v>89</v>
      </c>
      <c r="N149" s="150" t="s">
        <v>89</v>
      </c>
    </row>
    <row r="150" spans="1:14" ht="15" thickBot="1" x14ac:dyDescent="0.4">
      <c r="A150" s="181" t="s">
        <v>643</v>
      </c>
      <c r="B150" s="150">
        <v>542464</v>
      </c>
      <c r="C150" s="150">
        <v>247359</v>
      </c>
      <c r="D150" s="150">
        <v>127087</v>
      </c>
      <c r="E150" s="150">
        <v>70020</v>
      </c>
      <c r="F150" s="150">
        <v>165870</v>
      </c>
      <c r="H150" s="471" t="s">
        <v>644</v>
      </c>
      <c r="I150" s="472"/>
      <c r="J150" s="150" t="s">
        <v>89</v>
      </c>
      <c r="K150" s="150" t="s">
        <v>89</v>
      </c>
      <c r="L150" s="150" t="s">
        <v>89</v>
      </c>
      <c r="M150" s="150" t="s">
        <v>89</v>
      </c>
      <c r="N150" s="150" t="s">
        <v>89</v>
      </c>
    </row>
    <row r="151" spans="1:14" ht="15" thickBot="1" x14ac:dyDescent="0.4">
      <c r="A151" s="181" t="s">
        <v>645</v>
      </c>
      <c r="B151" s="150">
        <v>416</v>
      </c>
      <c r="C151" s="150">
        <v>0</v>
      </c>
      <c r="D151" s="150" t="s">
        <v>89</v>
      </c>
      <c r="E151" s="150" t="s">
        <v>89</v>
      </c>
      <c r="F151" s="150" t="s">
        <v>89</v>
      </c>
      <c r="H151" s="471" t="s">
        <v>646</v>
      </c>
      <c r="I151" s="472"/>
      <c r="J151" s="150" t="s">
        <v>89</v>
      </c>
      <c r="K151" s="150" t="s">
        <v>89</v>
      </c>
      <c r="L151" s="150" t="s">
        <v>89</v>
      </c>
      <c r="M151" s="150" t="s">
        <v>89</v>
      </c>
      <c r="N151" s="150" t="s">
        <v>89</v>
      </c>
    </row>
    <row r="152" spans="1:14" ht="15" thickBot="1" x14ac:dyDescent="0.4">
      <c r="A152" s="181" t="s">
        <v>647</v>
      </c>
      <c r="B152" s="150" t="s">
        <v>89</v>
      </c>
      <c r="C152" s="150" t="s">
        <v>89</v>
      </c>
      <c r="D152" s="150" t="s">
        <v>89</v>
      </c>
      <c r="E152" s="150" t="s">
        <v>89</v>
      </c>
      <c r="F152" s="150" t="s">
        <v>89</v>
      </c>
      <c r="H152" s="471" t="s">
        <v>648</v>
      </c>
      <c r="I152" s="472"/>
      <c r="J152" s="150" t="s">
        <v>89</v>
      </c>
      <c r="K152" s="150" t="s">
        <v>89</v>
      </c>
      <c r="L152" s="150" t="s">
        <v>89</v>
      </c>
      <c r="M152" s="150" t="s">
        <v>89</v>
      </c>
      <c r="N152" s="150" t="s">
        <v>89</v>
      </c>
    </row>
    <row r="153" spans="1:14" ht="15" thickBot="1" x14ac:dyDescent="0.4">
      <c r="A153" s="181" t="s">
        <v>649</v>
      </c>
      <c r="B153" s="150" t="s">
        <v>89</v>
      </c>
      <c r="C153" s="150" t="s">
        <v>89</v>
      </c>
      <c r="D153" s="150" t="s">
        <v>89</v>
      </c>
      <c r="E153" s="150" t="s">
        <v>89</v>
      </c>
      <c r="F153" s="150" t="s">
        <v>89</v>
      </c>
      <c r="H153" s="471" t="s">
        <v>650</v>
      </c>
      <c r="I153" s="472"/>
      <c r="J153" s="150" t="s">
        <v>89</v>
      </c>
      <c r="K153" s="150" t="s">
        <v>89</v>
      </c>
      <c r="L153" s="150" t="s">
        <v>89</v>
      </c>
      <c r="M153" s="150" t="s">
        <v>89</v>
      </c>
      <c r="N153" s="150" t="s">
        <v>89</v>
      </c>
    </row>
    <row r="154" spans="1:14" ht="15" thickBot="1" x14ac:dyDescent="0.4">
      <c r="A154" s="181" t="s">
        <v>651</v>
      </c>
      <c r="B154" s="150" t="s">
        <v>89</v>
      </c>
      <c r="C154" s="150" t="s">
        <v>89</v>
      </c>
      <c r="D154" s="150" t="s">
        <v>89</v>
      </c>
      <c r="E154" s="150" t="s">
        <v>89</v>
      </c>
      <c r="F154" s="150" t="s">
        <v>89</v>
      </c>
      <c r="H154" s="471" t="s">
        <v>652</v>
      </c>
      <c r="I154" s="472"/>
      <c r="J154" s="150" t="s">
        <v>89</v>
      </c>
      <c r="K154" s="150" t="s">
        <v>89</v>
      </c>
      <c r="L154" s="150" t="s">
        <v>89</v>
      </c>
      <c r="M154" s="150" t="s">
        <v>89</v>
      </c>
      <c r="N154" s="150" t="s">
        <v>89</v>
      </c>
    </row>
    <row r="155" spans="1:14" ht="15" thickBot="1" x14ac:dyDescent="0.4">
      <c r="A155" s="181" t="s">
        <v>653</v>
      </c>
      <c r="B155" s="150" t="s">
        <v>89</v>
      </c>
      <c r="C155" s="150" t="s">
        <v>89</v>
      </c>
      <c r="D155" s="150" t="s">
        <v>89</v>
      </c>
      <c r="E155" s="150" t="s">
        <v>89</v>
      </c>
      <c r="F155" s="150" t="s">
        <v>89</v>
      </c>
      <c r="H155" s="471" t="s">
        <v>654</v>
      </c>
      <c r="I155" s="472"/>
      <c r="J155" s="150" t="s">
        <v>89</v>
      </c>
      <c r="K155" s="150" t="s">
        <v>89</v>
      </c>
      <c r="L155" s="150" t="s">
        <v>89</v>
      </c>
      <c r="M155" s="150" t="s">
        <v>89</v>
      </c>
      <c r="N155" s="150" t="s">
        <v>89</v>
      </c>
    </row>
    <row r="156" spans="1:14" ht="15" thickBot="1" x14ac:dyDescent="0.4">
      <c r="A156" s="181" t="s">
        <v>655</v>
      </c>
      <c r="B156" s="150" t="s">
        <v>89</v>
      </c>
      <c r="C156" s="150" t="s">
        <v>89</v>
      </c>
      <c r="D156" s="150" t="s">
        <v>89</v>
      </c>
      <c r="E156" s="150" t="s">
        <v>89</v>
      </c>
      <c r="F156" s="150" t="s">
        <v>89</v>
      </c>
      <c r="H156" s="471" t="s">
        <v>656</v>
      </c>
      <c r="I156" s="472"/>
      <c r="J156" s="150" t="s">
        <v>89</v>
      </c>
      <c r="K156" s="150" t="s">
        <v>89</v>
      </c>
      <c r="L156" s="150" t="s">
        <v>89</v>
      </c>
      <c r="M156" s="150" t="s">
        <v>89</v>
      </c>
      <c r="N156" s="150" t="s">
        <v>89</v>
      </c>
    </row>
    <row r="157" spans="1:14" ht="15" thickBot="1" x14ac:dyDescent="0.4">
      <c r="A157" s="181" t="s">
        <v>657</v>
      </c>
      <c r="B157" s="150" t="s">
        <v>89</v>
      </c>
      <c r="C157" s="150" t="s">
        <v>89</v>
      </c>
      <c r="D157" s="150" t="s">
        <v>89</v>
      </c>
      <c r="E157" s="150" t="s">
        <v>89</v>
      </c>
      <c r="F157" s="150" t="s">
        <v>89</v>
      </c>
      <c r="H157" s="471" t="s">
        <v>658</v>
      </c>
      <c r="I157" s="472"/>
      <c r="J157" s="150" t="s">
        <v>89</v>
      </c>
      <c r="K157" s="150" t="s">
        <v>89</v>
      </c>
      <c r="L157" s="150" t="s">
        <v>89</v>
      </c>
      <c r="M157" s="150" t="s">
        <v>89</v>
      </c>
      <c r="N157" s="150" t="s">
        <v>89</v>
      </c>
    </row>
    <row r="158" spans="1:14" ht="15" thickBot="1" x14ac:dyDescent="0.4">
      <c r="A158" s="181" t="s">
        <v>659</v>
      </c>
      <c r="B158" s="150" t="s">
        <v>89</v>
      </c>
      <c r="C158" s="150" t="s">
        <v>89</v>
      </c>
      <c r="D158" s="150" t="s">
        <v>89</v>
      </c>
      <c r="E158" s="150" t="s">
        <v>89</v>
      </c>
      <c r="F158" s="150" t="s">
        <v>89</v>
      </c>
      <c r="H158" s="471" t="s">
        <v>660</v>
      </c>
      <c r="I158" s="472"/>
      <c r="J158" s="150" t="s">
        <v>89</v>
      </c>
      <c r="K158" s="150" t="s">
        <v>89</v>
      </c>
      <c r="L158" s="150" t="s">
        <v>89</v>
      </c>
      <c r="M158" s="150" t="s">
        <v>89</v>
      </c>
      <c r="N158" s="150" t="s">
        <v>89</v>
      </c>
    </row>
    <row r="159" spans="1:14" ht="15" thickBot="1" x14ac:dyDescent="0.4">
      <c r="A159" s="181" t="s">
        <v>661</v>
      </c>
      <c r="B159" s="150" t="s">
        <v>89</v>
      </c>
      <c r="C159" s="150" t="s">
        <v>89</v>
      </c>
      <c r="D159" s="150" t="s">
        <v>89</v>
      </c>
      <c r="E159" s="150" t="s">
        <v>89</v>
      </c>
      <c r="F159" s="150" t="s">
        <v>89</v>
      </c>
      <c r="H159" s="471" t="s">
        <v>662</v>
      </c>
      <c r="I159" s="472"/>
      <c r="J159" s="150" t="s">
        <v>89</v>
      </c>
      <c r="K159" s="150" t="s">
        <v>89</v>
      </c>
      <c r="L159" s="150" t="s">
        <v>89</v>
      </c>
      <c r="M159" s="150" t="s">
        <v>89</v>
      </c>
      <c r="N159" s="150" t="s">
        <v>89</v>
      </c>
    </row>
    <row r="160" spans="1:14" ht="15" thickBot="1" x14ac:dyDescent="0.4">
      <c r="A160" s="181" t="s">
        <v>663</v>
      </c>
      <c r="B160" s="150" t="s">
        <v>89</v>
      </c>
      <c r="C160" s="150" t="s">
        <v>89</v>
      </c>
      <c r="D160" s="150" t="s">
        <v>89</v>
      </c>
      <c r="E160" s="150" t="s">
        <v>89</v>
      </c>
      <c r="F160" s="150" t="s">
        <v>89</v>
      </c>
      <c r="H160" s="471" t="s">
        <v>664</v>
      </c>
      <c r="I160" s="472"/>
      <c r="J160" s="150" t="s">
        <v>89</v>
      </c>
      <c r="K160" s="150" t="s">
        <v>89</v>
      </c>
      <c r="L160" s="150" t="s">
        <v>89</v>
      </c>
      <c r="M160" s="150" t="s">
        <v>89</v>
      </c>
      <c r="N160" s="150" t="s">
        <v>89</v>
      </c>
    </row>
    <row r="161" spans="1:14" ht="15" thickBot="1" x14ac:dyDescent="0.4">
      <c r="A161" s="181" t="s">
        <v>665</v>
      </c>
      <c r="B161" s="150" t="s">
        <v>89</v>
      </c>
      <c r="C161" s="150" t="s">
        <v>89</v>
      </c>
      <c r="D161" s="150" t="s">
        <v>89</v>
      </c>
      <c r="E161" s="150" t="s">
        <v>89</v>
      </c>
      <c r="F161" s="150" t="s">
        <v>89</v>
      </c>
      <c r="H161" s="471" t="s">
        <v>666</v>
      </c>
      <c r="I161" s="472"/>
      <c r="J161" s="153" t="s">
        <v>89</v>
      </c>
      <c r="K161" s="153" t="s">
        <v>89</v>
      </c>
      <c r="L161" s="153" t="s">
        <v>89</v>
      </c>
      <c r="M161" s="153" t="s">
        <v>89</v>
      </c>
      <c r="N161" s="153" t="s">
        <v>89</v>
      </c>
    </row>
    <row r="162" spans="1:14" ht="15" thickBot="1" x14ac:dyDescent="0.4">
      <c r="A162" s="181" t="s">
        <v>667</v>
      </c>
      <c r="B162" s="150" t="s">
        <v>89</v>
      </c>
      <c r="C162" s="150" t="s">
        <v>89</v>
      </c>
      <c r="D162" s="150" t="s">
        <v>89</v>
      </c>
      <c r="E162" s="150" t="s">
        <v>89</v>
      </c>
      <c r="F162" s="150" t="s">
        <v>89</v>
      </c>
      <c r="H162" s="471" t="s">
        <v>668</v>
      </c>
      <c r="I162" s="472"/>
      <c r="J162" s="150" t="s">
        <v>89</v>
      </c>
      <c r="K162" s="150" t="s">
        <v>89</v>
      </c>
      <c r="L162" s="150" t="s">
        <v>89</v>
      </c>
      <c r="M162" s="150" t="s">
        <v>89</v>
      </c>
      <c r="N162" s="150" t="s">
        <v>89</v>
      </c>
    </row>
    <row r="163" spans="1:14" ht="15" thickBot="1" x14ac:dyDescent="0.4">
      <c r="A163" s="181" t="s">
        <v>669</v>
      </c>
      <c r="B163" s="153" t="s">
        <v>89</v>
      </c>
      <c r="C163" s="153" t="s">
        <v>89</v>
      </c>
      <c r="D163" s="153" t="s">
        <v>89</v>
      </c>
      <c r="E163" s="153" t="s">
        <v>89</v>
      </c>
      <c r="F163" s="153" t="s">
        <v>89</v>
      </c>
      <c r="H163" s="471" t="s">
        <v>670</v>
      </c>
      <c r="I163" s="472"/>
      <c r="J163" s="150" t="s">
        <v>89</v>
      </c>
      <c r="K163" s="150" t="s">
        <v>89</v>
      </c>
      <c r="L163" s="150" t="s">
        <v>89</v>
      </c>
      <c r="M163" s="150" t="s">
        <v>89</v>
      </c>
      <c r="N163" s="150" t="s">
        <v>89</v>
      </c>
    </row>
    <row r="164" spans="1:14" ht="15" thickBot="1" x14ac:dyDescent="0.4">
      <c r="A164" s="181" t="s">
        <v>671</v>
      </c>
      <c r="B164" s="153" t="s">
        <v>89</v>
      </c>
      <c r="C164" s="153" t="s">
        <v>89</v>
      </c>
      <c r="D164" s="153" t="s">
        <v>89</v>
      </c>
      <c r="E164" s="153" t="s">
        <v>89</v>
      </c>
      <c r="F164" s="153" t="s">
        <v>89</v>
      </c>
      <c r="H164" s="471" t="s">
        <v>672</v>
      </c>
      <c r="I164" s="472"/>
      <c r="J164" s="152" t="s">
        <v>89</v>
      </c>
      <c r="K164" s="152" t="s">
        <v>89</v>
      </c>
      <c r="L164" s="152" t="s">
        <v>89</v>
      </c>
      <c r="M164" s="152" t="s">
        <v>89</v>
      </c>
      <c r="N164" s="152" t="s">
        <v>89</v>
      </c>
    </row>
    <row r="165" spans="1:14" ht="15" thickBot="1" x14ac:dyDescent="0.4">
      <c r="A165" s="181" t="s">
        <v>673</v>
      </c>
      <c r="B165" s="153" t="s">
        <v>89</v>
      </c>
      <c r="C165" s="153" t="s">
        <v>89</v>
      </c>
      <c r="D165" s="153" t="s">
        <v>89</v>
      </c>
      <c r="E165" s="153" t="s">
        <v>89</v>
      </c>
      <c r="F165" s="153" t="s">
        <v>89</v>
      </c>
      <c r="H165" s="471" t="s">
        <v>674</v>
      </c>
      <c r="I165" s="472"/>
      <c r="J165" s="152" t="s">
        <v>89</v>
      </c>
      <c r="K165" s="152" t="s">
        <v>89</v>
      </c>
      <c r="L165" s="152" t="s">
        <v>89</v>
      </c>
      <c r="M165" s="152" t="s">
        <v>89</v>
      </c>
      <c r="N165" s="152" t="s">
        <v>89</v>
      </c>
    </row>
    <row r="166" spans="1:14" ht="15" thickBot="1" x14ac:dyDescent="0.4">
      <c r="A166" s="181" t="s">
        <v>675</v>
      </c>
      <c r="B166" s="150" t="s">
        <v>89</v>
      </c>
      <c r="C166" s="150" t="s">
        <v>89</v>
      </c>
      <c r="D166" s="150" t="s">
        <v>89</v>
      </c>
      <c r="E166" s="150" t="s">
        <v>89</v>
      </c>
      <c r="F166" s="150" t="s">
        <v>89</v>
      </c>
      <c r="H166" s="471" t="s">
        <v>676</v>
      </c>
      <c r="I166" s="472"/>
      <c r="J166" s="150" t="s">
        <v>89</v>
      </c>
      <c r="K166" s="150" t="s">
        <v>89</v>
      </c>
      <c r="L166" s="150" t="s">
        <v>89</v>
      </c>
      <c r="M166" s="150" t="s">
        <v>89</v>
      </c>
      <c r="N166" s="150" t="s">
        <v>89</v>
      </c>
    </row>
    <row r="167" spans="1:14" ht="15" thickBot="1" x14ac:dyDescent="0.4">
      <c r="A167" s="181" t="s">
        <v>677</v>
      </c>
      <c r="B167" s="150" t="s">
        <v>89</v>
      </c>
      <c r="C167" s="150" t="s">
        <v>89</v>
      </c>
      <c r="D167" s="150" t="s">
        <v>89</v>
      </c>
      <c r="E167" s="150" t="s">
        <v>89</v>
      </c>
      <c r="F167" s="150" t="s">
        <v>89</v>
      </c>
      <c r="H167" s="471" t="s">
        <v>678</v>
      </c>
      <c r="I167" s="472"/>
      <c r="J167" s="150" t="s">
        <v>89</v>
      </c>
      <c r="K167" s="150" t="s">
        <v>89</v>
      </c>
      <c r="L167" s="150" t="s">
        <v>89</v>
      </c>
      <c r="M167" s="150" t="s">
        <v>89</v>
      </c>
      <c r="N167" s="150" t="s">
        <v>89</v>
      </c>
    </row>
    <row r="168" spans="1:14" ht="15" thickBot="1" x14ac:dyDescent="0.4">
      <c r="A168" s="181" t="s">
        <v>679</v>
      </c>
      <c r="B168" s="150" t="s">
        <v>89</v>
      </c>
      <c r="C168" s="150" t="s">
        <v>89</v>
      </c>
      <c r="D168" s="150" t="s">
        <v>89</v>
      </c>
      <c r="E168" s="150" t="s">
        <v>89</v>
      </c>
      <c r="F168" s="150" t="s">
        <v>89</v>
      </c>
      <c r="H168" s="471" t="s">
        <v>680</v>
      </c>
      <c r="I168" s="472"/>
      <c r="J168" s="150" t="s">
        <v>89</v>
      </c>
      <c r="K168" s="150" t="s">
        <v>89</v>
      </c>
      <c r="L168" s="150" t="s">
        <v>89</v>
      </c>
      <c r="M168" s="150" t="s">
        <v>89</v>
      </c>
      <c r="N168" s="150" t="s">
        <v>89</v>
      </c>
    </row>
    <row r="169" spans="1:14" ht="15" thickBot="1" x14ac:dyDescent="0.4">
      <c r="A169" s="181" t="s">
        <v>681</v>
      </c>
      <c r="B169" s="150" t="s">
        <v>89</v>
      </c>
      <c r="C169" s="150" t="s">
        <v>89</v>
      </c>
      <c r="D169" s="150" t="s">
        <v>89</v>
      </c>
      <c r="E169" s="150" t="s">
        <v>89</v>
      </c>
      <c r="F169" s="150" t="s">
        <v>89</v>
      </c>
      <c r="H169" s="471" t="s">
        <v>682</v>
      </c>
      <c r="I169" s="472"/>
      <c r="J169" s="150" t="s">
        <v>89</v>
      </c>
      <c r="K169" s="150" t="s">
        <v>89</v>
      </c>
      <c r="L169" s="150" t="s">
        <v>89</v>
      </c>
      <c r="M169" s="150" t="s">
        <v>89</v>
      </c>
      <c r="N169" s="150" t="s">
        <v>89</v>
      </c>
    </row>
    <row r="170" spans="1:14" ht="15" thickBot="1" x14ac:dyDescent="0.4">
      <c r="A170" s="181" t="s">
        <v>683</v>
      </c>
      <c r="B170" s="150" t="s">
        <v>89</v>
      </c>
      <c r="C170" s="150" t="s">
        <v>89</v>
      </c>
      <c r="D170" s="150" t="s">
        <v>89</v>
      </c>
      <c r="E170" s="150" t="s">
        <v>89</v>
      </c>
      <c r="F170" s="150" t="s">
        <v>89</v>
      </c>
      <c r="H170" s="471" t="s">
        <v>684</v>
      </c>
      <c r="I170" s="472"/>
      <c r="J170" s="150" t="s">
        <v>89</v>
      </c>
      <c r="K170" s="150" t="s">
        <v>89</v>
      </c>
      <c r="L170" s="150" t="s">
        <v>89</v>
      </c>
      <c r="M170" s="150" t="s">
        <v>89</v>
      </c>
      <c r="N170" s="150" t="s">
        <v>89</v>
      </c>
    </row>
    <row r="171" spans="1:14" ht="15" thickBot="1" x14ac:dyDescent="0.4">
      <c r="A171" s="181" t="s">
        <v>685</v>
      </c>
      <c r="B171" s="150" t="s">
        <v>89</v>
      </c>
      <c r="C171" s="150" t="s">
        <v>89</v>
      </c>
      <c r="D171" s="150" t="s">
        <v>89</v>
      </c>
      <c r="E171" s="150" t="s">
        <v>89</v>
      </c>
      <c r="F171" s="150" t="s">
        <v>89</v>
      </c>
      <c r="H171" s="471" t="s">
        <v>686</v>
      </c>
      <c r="I171" s="472"/>
      <c r="J171" s="150" t="s">
        <v>89</v>
      </c>
      <c r="K171" s="150" t="s">
        <v>89</v>
      </c>
      <c r="L171" s="150" t="s">
        <v>89</v>
      </c>
      <c r="M171" s="150" t="s">
        <v>89</v>
      </c>
      <c r="N171" s="150" t="s">
        <v>89</v>
      </c>
    </row>
    <row r="172" spans="1:14" ht="15" thickBot="1" x14ac:dyDescent="0.4">
      <c r="A172" s="181" t="s">
        <v>687</v>
      </c>
      <c r="B172" s="150" t="s">
        <v>89</v>
      </c>
      <c r="C172" s="150" t="s">
        <v>89</v>
      </c>
      <c r="D172" s="150" t="s">
        <v>89</v>
      </c>
      <c r="E172" s="150" t="s">
        <v>89</v>
      </c>
      <c r="F172" s="150" t="s">
        <v>89</v>
      </c>
      <c r="H172" s="471" t="s">
        <v>688</v>
      </c>
      <c r="I172" s="472"/>
      <c r="J172" s="150" t="s">
        <v>89</v>
      </c>
      <c r="K172" s="150" t="s">
        <v>89</v>
      </c>
      <c r="L172" s="150" t="s">
        <v>89</v>
      </c>
      <c r="M172" s="150" t="s">
        <v>89</v>
      </c>
      <c r="N172" s="150" t="s">
        <v>89</v>
      </c>
    </row>
    <row r="173" spans="1:14" ht="15" thickBot="1" x14ac:dyDescent="0.4">
      <c r="A173" s="181" t="s">
        <v>689</v>
      </c>
      <c r="B173" s="153" t="s">
        <v>89</v>
      </c>
      <c r="C173" s="153" t="s">
        <v>89</v>
      </c>
      <c r="D173" s="153" t="s">
        <v>89</v>
      </c>
      <c r="E173" s="153" t="s">
        <v>89</v>
      </c>
      <c r="F173" s="153" t="s">
        <v>89</v>
      </c>
      <c r="H173" s="471" t="s">
        <v>690</v>
      </c>
      <c r="I173" s="472"/>
      <c r="J173" s="150" t="s">
        <v>89</v>
      </c>
      <c r="K173" s="150" t="s">
        <v>89</v>
      </c>
      <c r="L173" s="150" t="s">
        <v>89</v>
      </c>
      <c r="M173" s="150" t="s">
        <v>89</v>
      </c>
      <c r="N173" s="150" t="s">
        <v>89</v>
      </c>
    </row>
    <row r="174" spans="1:14" ht="15" thickBot="1" x14ac:dyDescent="0.4">
      <c r="A174" s="181" t="s">
        <v>691</v>
      </c>
      <c r="B174" s="153" t="s">
        <v>89</v>
      </c>
      <c r="C174" s="153" t="s">
        <v>89</v>
      </c>
      <c r="D174" s="153" t="s">
        <v>89</v>
      </c>
      <c r="E174" s="153" t="s">
        <v>89</v>
      </c>
      <c r="F174" s="153" t="s">
        <v>89</v>
      </c>
      <c r="H174" s="471" t="s">
        <v>692</v>
      </c>
      <c r="I174" s="472"/>
      <c r="J174" s="150" t="s">
        <v>89</v>
      </c>
      <c r="K174" s="150" t="s">
        <v>89</v>
      </c>
      <c r="L174" s="150" t="s">
        <v>89</v>
      </c>
      <c r="M174" s="150" t="s">
        <v>89</v>
      </c>
      <c r="N174" s="150" t="s">
        <v>89</v>
      </c>
    </row>
    <row r="175" spans="1:14" ht="15" thickBot="1" x14ac:dyDescent="0.4">
      <c r="A175" s="181" t="s">
        <v>693</v>
      </c>
      <c r="B175" s="153" t="s">
        <v>89</v>
      </c>
      <c r="C175" s="153" t="s">
        <v>89</v>
      </c>
      <c r="D175" s="153" t="s">
        <v>89</v>
      </c>
      <c r="E175" s="153" t="s">
        <v>89</v>
      </c>
      <c r="F175" s="153" t="s">
        <v>89</v>
      </c>
      <c r="H175" s="471" t="s">
        <v>694</v>
      </c>
      <c r="I175" s="472"/>
      <c r="J175" s="150" t="s">
        <v>89</v>
      </c>
      <c r="K175" s="150" t="s">
        <v>89</v>
      </c>
      <c r="L175" s="150" t="s">
        <v>89</v>
      </c>
      <c r="M175" s="150" t="s">
        <v>89</v>
      </c>
      <c r="N175" s="150" t="s">
        <v>89</v>
      </c>
    </row>
    <row r="176" spans="1:14" ht="15" thickBot="1" x14ac:dyDescent="0.4">
      <c r="A176" s="181" t="s">
        <v>695</v>
      </c>
      <c r="B176" s="153" t="s">
        <v>89</v>
      </c>
      <c r="C176" s="153" t="s">
        <v>89</v>
      </c>
      <c r="D176" s="153" t="s">
        <v>89</v>
      </c>
      <c r="E176" s="153" t="s">
        <v>89</v>
      </c>
      <c r="F176" s="153" t="s">
        <v>89</v>
      </c>
      <c r="H176" s="471" t="s">
        <v>696</v>
      </c>
      <c r="I176" s="472"/>
      <c r="J176" s="150">
        <v>11231411</v>
      </c>
      <c r="K176" s="150">
        <v>12202403</v>
      </c>
      <c r="L176" s="150">
        <v>12494129</v>
      </c>
      <c r="M176" s="150">
        <v>11743938</v>
      </c>
      <c r="N176" s="150">
        <v>9637762</v>
      </c>
    </row>
    <row r="177" spans="1:14" ht="15" thickBot="1" x14ac:dyDescent="0.4">
      <c r="A177" s="181" t="s">
        <v>697</v>
      </c>
      <c r="B177" s="153" t="s">
        <v>89</v>
      </c>
      <c r="C177" s="153" t="s">
        <v>89</v>
      </c>
      <c r="D177" s="153" t="s">
        <v>89</v>
      </c>
      <c r="E177" s="153" t="s">
        <v>89</v>
      </c>
      <c r="F177" s="153" t="s">
        <v>89</v>
      </c>
      <c r="H177" s="469" t="s">
        <v>698</v>
      </c>
      <c r="I177" s="470"/>
      <c r="J177" s="150">
        <v>12908616</v>
      </c>
      <c r="K177" s="150">
        <v>14214817</v>
      </c>
      <c r="L177" s="150">
        <v>15437569</v>
      </c>
      <c r="M177" s="150">
        <v>14107193</v>
      </c>
      <c r="N177" s="150">
        <v>11976296</v>
      </c>
    </row>
    <row r="178" spans="1:14" ht="15" thickBot="1" x14ac:dyDescent="0.4">
      <c r="A178" s="181" t="s">
        <v>699</v>
      </c>
      <c r="B178" s="150" t="s">
        <v>89</v>
      </c>
      <c r="C178" s="150" t="s">
        <v>89</v>
      </c>
      <c r="D178" s="150" t="s">
        <v>89</v>
      </c>
      <c r="E178" s="150" t="s">
        <v>89</v>
      </c>
      <c r="F178" s="150" t="s">
        <v>89</v>
      </c>
      <c r="H178" s="504" t="s">
        <v>700</v>
      </c>
      <c r="I178" s="504"/>
      <c r="J178" s="98"/>
      <c r="K178" s="98"/>
      <c r="L178" s="98"/>
      <c r="M178" s="98"/>
      <c r="N178" s="98"/>
    </row>
    <row r="179" spans="1:14" ht="15" thickBot="1" x14ac:dyDescent="0.4">
      <c r="A179" s="181" t="s">
        <v>701</v>
      </c>
      <c r="B179" s="150" t="s">
        <v>89</v>
      </c>
      <c r="C179" s="150" t="s">
        <v>89</v>
      </c>
      <c r="D179" s="150" t="s">
        <v>89</v>
      </c>
      <c r="E179" s="150" t="s">
        <v>89</v>
      </c>
      <c r="F179" s="150" t="s">
        <v>89</v>
      </c>
      <c r="H179" s="505" t="s">
        <v>702</v>
      </c>
      <c r="I179" s="506"/>
      <c r="J179" s="146">
        <v>1874905</v>
      </c>
      <c r="K179" s="146">
        <v>2238366</v>
      </c>
      <c r="L179" s="146">
        <v>2310674</v>
      </c>
      <c r="M179" s="146">
        <v>2320982</v>
      </c>
      <c r="N179" s="146">
        <v>1956248</v>
      </c>
    </row>
    <row r="180" spans="1:14" ht="15" thickBot="1" x14ac:dyDescent="0.4">
      <c r="A180" s="181" t="s">
        <v>703</v>
      </c>
      <c r="B180" s="150" t="s">
        <v>89</v>
      </c>
      <c r="C180" s="150" t="s">
        <v>89</v>
      </c>
      <c r="D180" s="150" t="s">
        <v>89</v>
      </c>
      <c r="E180" s="150" t="s">
        <v>89</v>
      </c>
      <c r="F180" s="150" t="s">
        <v>89</v>
      </c>
      <c r="H180" s="507" t="s">
        <v>702</v>
      </c>
      <c r="I180" s="508"/>
      <c r="J180" s="148">
        <v>1874905</v>
      </c>
      <c r="K180" s="148">
        <v>2238366</v>
      </c>
      <c r="L180" s="148">
        <v>2310674</v>
      </c>
      <c r="M180" s="148">
        <v>2320982</v>
      </c>
      <c r="N180" s="148">
        <v>1956248</v>
      </c>
    </row>
    <row r="181" spans="1:14" ht="15" thickBot="1" x14ac:dyDescent="0.4">
      <c r="A181" s="181" t="s">
        <v>704</v>
      </c>
      <c r="B181" s="150" t="s">
        <v>89</v>
      </c>
      <c r="C181" s="150" t="s">
        <v>89</v>
      </c>
      <c r="D181" s="150" t="s">
        <v>89</v>
      </c>
      <c r="E181" s="150" t="s">
        <v>89</v>
      </c>
      <c r="F181" s="150" t="s">
        <v>89</v>
      </c>
      <c r="H181" s="505" t="s">
        <v>705</v>
      </c>
      <c r="I181" s="506"/>
      <c r="J181" s="146">
        <v>-28839</v>
      </c>
      <c r="K181" s="146">
        <v>3012</v>
      </c>
      <c r="L181" s="146">
        <v>-27870</v>
      </c>
      <c r="M181" s="146">
        <v>-31282</v>
      </c>
      <c r="N181" s="146">
        <v>-38289</v>
      </c>
    </row>
    <row r="182" spans="1:14" ht="15" thickBot="1" x14ac:dyDescent="0.4">
      <c r="A182" s="181" t="s">
        <v>706</v>
      </c>
      <c r="B182" s="150" t="s">
        <v>89</v>
      </c>
      <c r="C182" s="150" t="s">
        <v>89</v>
      </c>
      <c r="D182" s="150" t="s">
        <v>89</v>
      </c>
      <c r="E182" s="150" t="s">
        <v>89</v>
      </c>
      <c r="F182" s="150" t="s">
        <v>89</v>
      </c>
      <c r="H182" s="507" t="s">
        <v>705</v>
      </c>
      <c r="I182" s="508"/>
      <c r="J182" s="148">
        <v>-28839</v>
      </c>
      <c r="K182" s="148">
        <v>3012</v>
      </c>
      <c r="L182" s="148">
        <v>-27870</v>
      </c>
      <c r="M182" s="148">
        <v>-31282</v>
      </c>
      <c r="N182" s="148">
        <v>-38289</v>
      </c>
    </row>
    <row r="183" spans="1:14" ht="15" thickBot="1" x14ac:dyDescent="0.4">
      <c r="A183" s="181" t="s">
        <v>707</v>
      </c>
      <c r="B183" s="150" t="s">
        <v>89</v>
      </c>
      <c r="C183" s="150" t="s">
        <v>89</v>
      </c>
      <c r="D183" s="150" t="s">
        <v>89</v>
      </c>
      <c r="E183" s="150" t="s">
        <v>89</v>
      </c>
      <c r="F183" s="150" t="s">
        <v>89</v>
      </c>
      <c r="H183" s="471" t="s">
        <v>708</v>
      </c>
      <c r="I183" s="472"/>
      <c r="J183" s="150">
        <v>1846067</v>
      </c>
      <c r="K183" s="150">
        <v>2241378</v>
      </c>
      <c r="L183" s="150">
        <v>2282804</v>
      </c>
      <c r="M183" s="150">
        <v>2289700</v>
      </c>
      <c r="N183" s="150">
        <v>1917959</v>
      </c>
    </row>
    <row r="184" spans="1:14" ht="15" thickBot="1" x14ac:dyDescent="0.4">
      <c r="A184" s="181" t="s">
        <v>709</v>
      </c>
      <c r="B184" s="150" t="s">
        <v>89</v>
      </c>
      <c r="C184" s="150" t="s">
        <v>89</v>
      </c>
      <c r="D184" s="150" t="s">
        <v>89</v>
      </c>
      <c r="E184" s="150" t="s">
        <v>89</v>
      </c>
      <c r="F184" s="150" t="s">
        <v>89</v>
      </c>
      <c r="H184" s="471" t="s">
        <v>710</v>
      </c>
      <c r="I184" s="472"/>
      <c r="J184" s="150" t="s">
        <v>89</v>
      </c>
      <c r="K184" s="150" t="s">
        <v>89</v>
      </c>
      <c r="L184" s="150" t="s">
        <v>89</v>
      </c>
      <c r="M184" s="150" t="s">
        <v>89</v>
      </c>
      <c r="N184" s="150" t="s">
        <v>89</v>
      </c>
    </row>
    <row r="185" spans="1:14" ht="15" thickBot="1" x14ac:dyDescent="0.4">
      <c r="A185" s="181" t="s">
        <v>711</v>
      </c>
      <c r="B185" s="150">
        <v>15033911</v>
      </c>
      <c r="C185" s="150">
        <v>19738521</v>
      </c>
      <c r="D185" s="150">
        <v>24760657</v>
      </c>
      <c r="E185" s="150">
        <v>29336839</v>
      </c>
      <c r="F185" s="150">
        <v>26022819</v>
      </c>
      <c r="H185" s="471" t="s">
        <v>712</v>
      </c>
      <c r="I185" s="472"/>
      <c r="J185" s="150" t="s">
        <v>89</v>
      </c>
      <c r="K185" s="150" t="s">
        <v>89</v>
      </c>
      <c r="L185" s="150" t="s">
        <v>89</v>
      </c>
      <c r="M185" s="150" t="s">
        <v>89</v>
      </c>
      <c r="N185" s="150" t="s">
        <v>89</v>
      </c>
    </row>
    <row r="186" spans="1:14" ht="15" thickBot="1" x14ac:dyDescent="0.4">
      <c r="A186" s="181" t="s">
        <v>713</v>
      </c>
      <c r="B186" s="150" t="s">
        <v>89</v>
      </c>
      <c r="C186" s="150" t="s">
        <v>89</v>
      </c>
      <c r="D186" s="150" t="s">
        <v>89</v>
      </c>
      <c r="E186" s="150" t="s">
        <v>89</v>
      </c>
      <c r="F186" s="150" t="s">
        <v>89</v>
      </c>
      <c r="H186" s="471" t="s">
        <v>714</v>
      </c>
      <c r="I186" s="472"/>
      <c r="J186" s="150" t="s">
        <v>89</v>
      </c>
      <c r="K186" s="150" t="s">
        <v>89</v>
      </c>
      <c r="L186" s="150" t="s">
        <v>89</v>
      </c>
      <c r="M186" s="150" t="s">
        <v>89</v>
      </c>
      <c r="N186" s="150" t="s">
        <v>89</v>
      </c>
    </row>
    <row r="187" spans="1:14" ht="15" thickBot="1" x14ac:dyDescent="0.4">
      <c r="A187" s="181" t="s">
        <v>715</v>
      </c>
      <c r="B187" s="150" t="s">
        <v>89</v>
      </c>
      <c r="C187" s="150" t="s">
        <v>89</v>
      </c>
      <c r="D187" s="150" t="s">
        <v>89</v>
      </c>
      <c r="E187" s="150" t="s">
        <v>89</v>
      </c>
      <c r="F187" s="150" t="s">
        <v>89</v>
      </c>
      <c r="H187" s="471" t="s">
        <v>716</v>
      </c>
      <c r="I187" s="472"/>
      <c r="J187" s="150" t="s">
        <v>89</v>
      </c>
      <c r="K187" s="150" t="s">
        <v>89</v>
      </c>
      <c r="L187" s="150" t="s">
        <v>89</v>
      </c>
      <c r="M187" s="150" t="s">
        <v>89</v>
      </c>
      <c r="N187" s="150" t="s">
        <v>89</v>
      </c>
    </row>
    <row r="188" spans="1:14" ht="15" thickBot="1" x14ac:dyDescent="0.4">
      <c r="A188" s="181" t="s">
        <v>717</v>
      </c>
      <c r="B188" s="150" t="s">
        <v>89</v>
      </c>
      <c r="C188" s="150" t="s">
        <v>89</v>
      </c>
      <c r="D188" s="150" t="s">
        <v>89</v>
      </c>
      <c r="E188" s="150" t="s">
        <v>89</v>
      </c>
      <c r="F188" s="150" t="s">
        <v>89</v>
      </c>
      <c r="H188" s="471" t="s">
        <v>718</v>
      </c>
      <c r="I188" s="472"/>
      <c r="J188" s="150" t="s">
        <v>89</v>
      </c>
      <c r="K188" s="150" t="s">
        <v>89</v>
      </c>
      <c r="L188" s="150" t="s">
        <v>89</v>
      </c>
      <c r="M188" s="150" t="s">
        <v>89</v>
      </c>
      <c r="N188" s="150" t="s">
        <v>89</v>
      </c>
    </row>
    <row r="189" spans="1:14" ht="15" thickBot="1" x14ac:dyDescent="0.4">
      <c r="A189" s="181" t="s">
        <v>719</v>
      </c>
      <c r="B189" s="150" t="s">
        <v>89</v>
      </c>
      <c r="C189" s="150" t="s">
        <v>89</v>
      </c>
      <c r="D189" s="150" t="s">
        <v>89</v>
      </c>
      <c r="E189" s="150" t="s">
        <v>89</v>
      </c>
      <c r="F189" s="150" t="s">
        <v>89</v>
      </c>
      <c r="H189" s="471" t="s">
        <v>720</v>
      </c>
      <c r="I189" s="472"/>
      <c r="J189" s="150" t="s">
        <v>89</v>
      </c>
      <c r="K189" s="150" t="s">
        <v>89</v>
      </c>
      <c r="L189" s="150" t="s">
        <v>89</v>
      </c>
      <c r="M189" s="150" t="s">
        <v>89</v>
      </c>
      <c r="N189" s="150" t="s">
        <v>89</v>
      </c>
    </row>
    <row r="190" spans="1:14" ht="15" thickBot="1" x14ac:dyDescent="0.4">
      <c r="A190" s="181" t="s">
        <v>721</v>
      </c>
      <c r="B190" s="150" t="s">
        <v>89</v>
      </c>
      <c r="C190" s="150" t="s">
        <v>89</v>
      </c>
      <c r="D190" s="150" t="s">
        <v>89</v>
      </c>
      <c r="E190" s="150" t="s">
        <v>89</v>
      </c>
      <c r="F190" s="150" t="s">
        <v>89</v>
      </c>
      <c r="H190" s="471" t="s">
        <v>722</v>
      </c>
      <c r="I190" s="472"/>
      <c r="J190" s="150" t="s">
        <v>89</v>
      </c>
      <c r="K190" s="150" t="s">
        <v>89</v>
      </c>
      <c r="L190" s="150" t="s">
        <v>89</v>
      </c>
      <c r="M190" s="150" t="s">
        <v>89</v>
      </c>
      <c r="N190" s="150" t="s">
        <v>89</v>
      </c>
    </row>
    <row r="191" spans="1:14" ht="15" thickBot="1" x14ac:dyDescent="0.4">
      <c r="A191" s="181" t="s">
        <v>723</v>
      </c>
      <c r="B191" s="150" t="s">
        <v>89</v>
      </c>
      <c r="C191" s="150" t="s">
        <v>89</v>
      </c>
      <c r="D191" s="150" t="s">
        <v>89</v>
      </c>
      <c r="E191" s="150" t="s">
        <v>89</v>
      </c>
      <c r="F191" s="150" t="s">
        <v>89</v>
      </c>
      <c r="H191" s="471" t="s">
        <v>724</v>
      </c>
      <c r="I191" s="472"/>
      <c r="J191" s="150" t="s">
        <v>89</v>
      </c>
      <c r="K191" s="150" t="s">
        <v>89</v>
      </c>
      <c r="L191" s="150" t="s">
        <v>89</v>
      </c>
      <c r="M191" s="150" t="s">
        <v>89</v>
      </c>
      <c r="N191" s="150" t="s">
        <v>89</v>
      </c>
    </row>
    <row r="192" spans="1:14" ht="15" thickBot="1" x14ac:dyDescent="0.4">
      <c r="A192" s="181" t="s">
        <v>725</v>
      </c>
      <c r="B192" s="150" t="s">
        <v>89</v>
      </c>
      <c r="C192" s="150" t="s">
        <v>89</v>
      </c>
      <c r="D192" s="150" t="s">
        <v>89</v>
      </c>
      <c r="E192" s="150" t="s">
        <v>89</v>
      </c>
      <c r="F192" s="150" t="s">
        <v>89</v>
      </c>
      <c r="H192" s="471" t="s">
        <v>726</v>
      </c>
      <c r="I192" s="472"/>
      <c r="J192" s="150" t="s">
        <v>89</v>
      </c>
      <c r="K192" s="150" t="s">
        <v>89</v>
      </c>
      <c r="L192" s="150" t="s">
        <v>89</v>
      </c>
      <c r="M192" s="150" t="s">
        <v>89</v>
      </c>
      <c r="N192" s="150" t="s">
        <v>89</v>
      </c>
    </row>
    <row r="193" spans="1:14" ht="15" thickBot="1" x14ac:dyDescent="0.4">
      <c r="A193" s="181" t="s">
        <v>727</v>
      </c>
      <c r="B193" s="150">
        <v>-8430456</v>
      </c>
      <c r="C193" s="150">
        <v>-7399288</v>
      </c>
      <c r="D193" s="150">
        <v>-9591064</v>
      </c>
      <c r="E193" s="150">
        <v>-11149462</v>
      </c>
      <c r="F193" s="150">
        <v>-11813373</v>
      </c>
      <c r="H193" s="469" t="s">
        <v>728</v>
      </c>
      <c r="I193" s="470"/>
      <c r="J193" s="150" t="s">
        <v>89</v>
      </c>
      <c r="K193" s="150" t="s">
        <v>89</v>
      </c>
      <c r="L193" s="150" t="s">
        <v>89</v>
      </c>
      <c r="M193" s="150" t="s">
        <v>89</v>
      </c>
      <c r="N193" s="150" t="s">
        <v>89</v>
      </c>
    </row>
    <row r="194" spans="1:14" ht="15" thickBot="1" x14ac:dyDescent="0.4">
      <c r="A194" s="181" t="s">
        <v>729</v>
      </c>
      <c r="B194" s="150">
        <v>24925212</v>
      </c>
      <c r="C194" s="150">
        <v>23988368</v>
      </c>
      <c r="D194" s="150">
        <v>28102134</v>
      </c>
      <c r="E194" s="150">
        <v>30183767</v>
      </c>
      <c r="F194" s="150">
        <v>27238742</v>
      </c>
      <c r="H194" s="492" t="s">
        <v>730</v>
      </c>
      <c r="I194" s="492"/>
      <c r="J194" s="154"/>
      <c r="K194" s="154"/>
      <c r="L194" s="154"/>
      <c r="M194" s="154"/>
      <c r="N194" s="154"/>
    </row>
    <row r="195" spans="1:14" ht="15" thickBot="1" x14ac:dyDescent="0.4">
      <c r="A195" s="181" t="s">
        <v>731</v>
      </c>
      <c r="B195" s="150" t="s">
        <v>89</v>
      </c>
      <c r="C195" s="150" t="s">
        <v>89</v>
      </c>
      <c r="D195" s="150" t="s">
        <v>89</v>
      </c>
      <c r="E195" s="150" t="s">
        <v>89</v>
      </c>
      <c r="F195" s="150" t="s">
        <v>89</v>
      </c>
      <c r="H195" s="493" t="s">
        <v>732</v>
      </c>
      <c r="I195" s="494"/>
      <c r="J195" s="156"/>
      <c r="K195" s="156"/>
      <c r="L195" s="156"/>
      <c r="M195" s="156"/>
      <c r="N195" s="156"/>
    </row>
    <row r="196" spans="1:14" ht="15" thickBot="1" x14ac:dyDescent="0.4">
      <c r="A196" s="181" t="s">
        <v>733</v>
      </c>
      <c r="B196" s="150" t="s">
        <v>89</v>
      </c>
      <c r="C196" s="150" t="s">
        <v>89</v>
      </c>
      <c r="D196" s="150" t="s">
        <v>89</v>
      </c>
      <c r="E196" s="150" t="s">
        <v>89</v>
      </c>
      <c r="F196" s="150" t="s">
        <v>89</v>
      </c>
      <c r="H196" s="497" t="s">
        <v>734</v>
      </c>
      <c r="I196" s="498"/>
      <c r="J196" s="148" t="s">
        <v>735</v>
      </c>
      <c r="K196" s="148" t="s">
        <v>735</v>
      </c>
      <c r="L196" s="148" t="s">
        <v>736</v>
      </c>
      <c r="M196" s="148" t="s">
        <v>737</v>
      </c>
      <c r="N196" s="148" t="s">
        <v>737</v>
      </c>
    </row>
    <row r="197" spans="1:14" ht="15" thickBot="1" x14ac:dyDescent="0.4">
      <c r="A197" s="181" t="s">
        <v>738</v>
      </c>
      <c r="B197" s="150" t="s">
        <v>89</v>
      </c>
      <c r="C197" s="150" t="s">
        <v>89</v>
      </c>
      <c r="D197" s="150" t="s">
        <v>89</v>
      </c>
      <c r="E197" s="150" t="s">
        <v>89</v>
      </c>
      <c r="F197" s="150" t="s">
        <v>89</v>
      </c>
      <c r="H197" s="499"/>
      <c r="I197" s="500"/>
      <c r="J197" s="158" t="s">
        <v>739</v>
      </c>
      <c r="K197" s="158" t="s">
        <v>739</v>
      </c>
      <c r="L197" s="158" t="s">
        <v>739</v>
      </c>
      <c r="M197" s="158" t="s">
        <v>739</v>
      </c>
      <c r="N197" s="158" t="s">
        <v>739</v>
      </c>
    </row>
    <row r="198" spans="1:14" ht="15" thickBot="1" x14ac:dyDescent="0.4">
      <c r="A198" s="181" t="s">
        <v>740</v>
      </c>
      <c r="B198" s="150" t="s">
        <v>89</v>
      </c>
      <c r="C198" s="150" t="s">
        <v>89</v>
      </c>
      <c r="D198" s="150" t="s">
        <v>89</v>
      </c>
      <c r="E198" s="150" t="s">
        <v>89</v>
      </c>
      <c r="F198" s="150" t="s">
        <v>89</v>
      </c>
      <c r="H198" s="499"/>
      <c r="I198" s="500"/>
      <c r="J198" s="148" t="s">
        <v>741</v>
      </c>
      <c r="K198" s="148" t="s">
        <v>741</v>
      </c>
      <c r="L198" s="148" t="s">
        <v>742</v>
      </c>
      <c r="M198" s="148" t="s">
        <v>743</v>
      </c>
      <c r="N198" s="148" t="s">
        <v>744</v>
      </c>
    </row>
    <row r="199" spans="1:14" ht="15" thickBot="1" x14ac:dyDescent="0.4">
      <c r="A199" s="181" t="s">
        <v>745</v>
      </c>
      <c r="B199" s="150" t="s">
        <v>89</v>
      </c>
      <c r="C199" s="150" t="s">
        <v>89</v>
      </c>
      <c r="D199" s="150" t="s">
        <v>89</v>
      </c>
      <c r="E199" s="150" t="s">
        <v>89</v>
      </c>
      <c r="F199" s="150" t="s">
        <v>89</v>
      </c>
      <c r="H199" s="499"/>
      <c r="I199" s="500"/>
      <c r="J199" s="158" t="s">
        <v>739</v>
      </c>
      <c r="K199" s="158" t="s">
        <v>739</v>
      </c>
      <c r="L199" s="158" t="s">
        <v>739</v>
      </c>
      <c r="M199" s="158" t="s">
        <v>739</v>
      </c>
      <c r="N199" s="158" t="s">
        <v>739</v>
      </c>
    </row>
    <row r="200" spans="1:14" ht="15" thickBot="1" x14ac:dyDescent="0.4">
      <c r="A200" s="181" t="s">
        <v>746</v>
      </c>
      <c r="B200" s="152" t="s">
        <v>89</v>
      </c>
      <c r="C200" s="152" t="s">
        <v>89</v>
      </c>
      <c r="D200" s="152" t="s">
        <v>89</v>
      </c>
      <c r="E200" s="152" t="s">
        <v>89</v>
      </c>
      <c r="F200" s="152" t="s">
        <v>89</v>
      </c>
      <c r="H200" s="499"/>
      <c r="I200" s="500"/>
      <c r="J200" s="148" t="s">
        <v>747</v>
      </c>
      <c r="K200" s="148" t="s">
        <v>748</v>
      </c>
      <c r="L200" s="148" t="s">
        <v>748</v>
      </c>
      <c r="M200" s="148" t="s">
        <v>749</v>
      </c>
      <c r="N200" s="148" t="s">
        <v>749</v>
      </c>
    </row>
    <row r="201" spans="1:14" ht="15" thickBot="1" x14ac:dyDescent="0.4">
      <c r="A201" s="181" t="s">
        <v>750</v>
      </c>
      <c r="B201" s="153" t="s">
        <v>89</v>
      </c>
      <c r="C201" s="153" t="s">
        <v>89</v>
      </c>
      <c r="D201" s="153" t="s">
        <v>89</v>
      </c>
      <c r="E201" s="153" t="s">
        <v>89</v>
      </c>
      <c r="F201" s="153" t="s">
        <v>89</v>
      </c>
      <c r="H201" s="501"/>
      <c r="I201" s="502"/>
      <c r="J201" s="158" t="s">
        <v>751</v>
      </c>
      <c r="K201" s="158" t="s">
        <v>751</v>
      </c>
      <c r="L201" s="158" t="s">
        <v>751</v>
      </c>
      <c r="M201" s="158" t="s">
        <v>751</v>
      </c>
      <c r="N201" s="158" t="s">
        <v>751</v>
      </c>
    </row>
    <row r="202" spans="1:14" ht="15" thickBot="1" x14ac:dyDescent="0.4">
      <c r="A202" s="181" t="s">
        <v>752</v>
      </c>
      <c r="B202" s="153" t="s">
        <v>89</v>
      </c>
      <c r="C202" s="153" t="s">
        <v>89</v>
      </c>
      <c r="D202" s="153" t="s">
        <v>89</v>
      </c>
      <c r="E202" s="153" t="s">
        <v>89</v>
      </c>
      <c r="F202" s="153" t="s">
        <v>89</v>
      </c>
      <c r="H202" s="497" t="s">
        <v>753</v>
      </c>
      <c r="I202" s="498"/>
      <c r="J202" s="148" t="s">
        <v>754</v>
      </c>
      <c r="K202" s="148" t="s">
        <v>754</v>
      </c>
      <c r="L202" s="148" t="s">
        <v>754</v>
      </c>
      <c r="M202" s="495" t="s">
        <v>89</v>
      </c>
      <c r="N202" s="495" t="s">
        <v>89</v>
      </c>
    </row>
    <row r="203" spans="1:14" ht="15" thickBot="1" x14ac:dyDescent="0.4">
      <c r="A203" s="181" t="s">
        <v>755</v>
      </c>
      <c r="B203" s="150" t="s">
        <v>89</v>
      </c>
      <c r="C203" s="150" t="s">
        <v>89</v>
      </c>
      <c r="D203" s="150" t="s">
        <v>89</v>
      </c>
      <c r="E203" s="150" t="s">
        <v>89</v>
      </c>
      <c r="F203" s="150" t="s">
        <v>89</v>
      </c>
      <c r="H203" s="499"/>
      <c r="I203" s="500"/>
      <c r="J203" s="158" t="s">
        <v>756</v>
      </c>
      <c r="K203" s="158" t="s">
        <v>757</v>
      </c>
      <c r="L203" s="158" t="s">
        <v>758</v>
      </c>
      <c r="M203" s="503"/>
      <c r="N203" s="503"/>
    </row>
    <row r="204" spans="1:14" ht="15" thickBot="1" x14ac:dyDescent="0.4">
      <c r="A204" s="181" t="s">
        <v>759</v>
      </c>
      <c r="B204" s="150" t="s">
        <v>89</v>
      </c>
      <c r="C204" s="150" t="s">
        <v>89</v>
      </c>
      <c r="D204" s="150" t="s">
        <v>89</v>
      </c>
      <c r="E204" s="150" t="s">
        <v>89</v>
      </c>
      <c r="F204" s="150" t="s">
        <v>89</v>
      </c>
      <c r="H204" s="499"/>
      <c r="I204" s="500"/>
      <c r="J204" s="148" t="s">
        <v>754</v>
      </c>
      <c r="K204" s="148" t="s">
        <v>754</v>
      </c>
      <c r="L204" s="495" t="s">
        <v>89</v>
      </c>
      <c r="M204" s="495" t="s">
        <v>89</v>
      </c>
      <c r="N204" s="495" t="s">
        <v>89</v>
      </c>
    </row>
    <row r="205" spans="1:14" ht="12" customHeight="1" thickBot="1" x14ac:dyDescent="0.4">
      <c r="A205" s="181" t="s">
        <v>760</v>
      </c>
      <c r="B205" s="150" t="s">
        <v>89</v>
      </c>
      <c r="C205" s="150" t="s">
        <v>89</v>
      </c>
      <c r="D205" s="150" t="s">
        <v>89</v>
      </c>
      <c r="E205" s="150" t="s">
        <v>89</v>
      </c>
      <c r="F205" s="150" t="s">
        <v>89</v>
      </c>
      <c r="H205" s="499"/>
      <c r="I205" s="500"/>
      <c r="J205" s="158" t="s">
        <v>761</v>
      </c>
      <c r="K205" s="158" t="s">
        <v>762</v>
      </c>
      <c r="L205" s="503"/>
      <c r="M205" s="503"/>
      <c r="N205" s="503"/>
    </row>
    <row r="206" spans="1:14" x14ac:dyDescent="0.35">
      <c r="A206" s="181" t="s">
        <v>694</v>
      </c>
      <c r="B206" s="150" t="s">
        <v>89</v>
      </c>
      <c r="C206" s="150" t="s">
        <v>89</v>
      </c>
      <c r="D206" s="150" t="s">
        <v>89</v>
      </c>
      <c r="E206" s="150" t="s">
        <v>89</v>
      </c>
      <c r="F206" s="150" t="s">
        <v>89</v>
      </c>
      <c r="H206" s="499"/>
      <c r="I206" s="500"/>
      <c r="J206" s="148" t="s">
        <v>754</v>
      </c>
      <c r="K206" s="148" t="s">
        <v>754</v>
      </c>
      <c r="L206" s="495" t="s">
        <v>89</v>
      </c>
      <c r="M206" s="495" t="s">
        <v>89</v>
      </c>
      <c r="N206" s="495" t="s">
        <v>89</v>
      </c>
    </row>
    <row r="207" spans="1:14" ht="15" thickBot="1" x14ac:dyDescent="0.4">
      <c r="A207" s="98" t="s">
        <v>763</v>
      </c>
      <c r="B207" s="98"/>
      <c r="C207" s="98"/>
      <c r="D207" s="98"/>
      <c r="E207" s="98"/>
      <c r="F207" s="98"/>
      <c r="H207" s="499"/>
      <c r="I207" s="500"/>
      <c r="J207" s="158" t="s">
        <v>764</v>
      </c>
      <c r="K207" s="158" t="s">
        <v>765</v>
      </c>
      <c r="L207" s="503"/>
      <c r="M207" s="503"/>
      <c r="N207" s="503"/>
    </row>
    <row r="208" spans="1:14" ht="15" thickBot="1" x14ac:dyDescent="0.4">
      <c r="A208" s="181" t="s">
        <v>766</v>
      </c>
      <c r="B208" s="150" t="s">
        <v>89</v>
      </c>
      <c r="C208" s="150" t="s">
        <v>89</v>
      </c>
      <c r="D208" s="150" t="s">
        <v>89</v>
      </c>
      <c r="E208" s="150" t="s">
        <v>89</v>
      </c>
      <c r="F208" s="150" t="s">
        <v>89</v>
      </c>
      <c r="H208" s="499"/>
      <c r="I208" s="500"/>
      <c r="J208" s="148" t="s">
        <v>754</v>
      </c>
      <c r="K208" s="495" t="s">
        <v>89</v>
      </c>
      <c r="L208" s="495" t="s">
        <v>89</v>
      </c>
      <c r="M208" s="495" t="s">
        <v>89</v>
      </c>
      <c r="N208" s="495" t="s">
        <v>89</v>
      </c>
    </row>
    <row r="209" spans="1:14" ht="15" thickBot="1" x14ac:dyDescent="0.4">
      <c r="A209" s="181" t="s">
        <v>767</v>
      </c>
      <c r="B209" s="150" t="s">
        <v>89</v>
      </c>
      <c r="C209" s="150" t="s">
        <v>89</v>
      </c>
      <c r="D209" s="150" t="s">
        <v>89</v>
      </c>
      <c r="E209" s="150" t="s">
        <v>89</v>
      </c>
      <c r="F209" s="150" t="s">
        <v>89</v>
      </c>
      <c r="H209" s="499"/>
      <c r="I209" s="500"/>
      <c r="J209" s="158" t="s">
        <v>764</v>
      </c>
      <c r="K209" s="503"/>
      <c r="L209" s="503"/>
      <c r="M209" s="503"/>
      <c r="N209" s="503"/>
    </row>
    <row r="210" spans="1:14" ht="15" thickBot="1" x14ac:dyDescent="0.4">
      <c r="A210" s="164" t="s">
        <v>768</v>
      </c>
      <c r="B210" s="146" t="s">
        <v>89</v>
      </c>
      <c r="C210" s="146" t="s">
        <v>89</v>
      </c>
      <c r="D210" s="146">
        <v>640175</v>
      </c>
      <c r="E210" s="146" t="s">
        <v>89</v>
      </c>
      <c r="F210" s="146" t="s">
        <v>89</v>
      </c>
      <c r="H210" s="499"/>
      <c r="I210" s="500"/>
      <c r="J210" s="148" t="s">
        <v>754</v>
      </c>
      <c r="K210" s="495" t="s">
        <v>89</v>
      </c>
      <c r="L210" s="495" t="s">
        <v>89</v>
      </c>
      <c r="M210" s="495" t="s">
        <v>89</v>
      </c>
      <c r="N210" s="495" t="s">
        <v>89</v>
      </c>
    </row>
    <row r="211" spans="1:14" ht="15" thickBot="1" x14ac:dyDescent="0.4">
      <c r="A211" s="174" t="s">
        <v>769</v>
      </c>
      <c r="B211" s="148" t="s">
        <v>89</v>
      </c>
      <c r="C211" s="148" t="s">
        <v>89</v>
      </c>
      <c r="D211" s="148">
        <v>36566</v>
      </c>
      <c r="E211" s="148" t="s">
        <v>89</v>
      </c>
      <c r="F211" s="148" t="s">
        <v>89</v>
      </c>
      <c r="H211" s="499"/>
      <c r="I211" s="500"/>
      <c r="J211" s="158" t="s">
        <v>770</v>
      </c>
      <c r="K211" s="503"/>
      <c r="L211" s="503"/>
      <c r="M211" s="503"/>
      <c r="N211" s="503"/>
    </row>
    <row r="212" spans="1:14" ht="15" thickBot="1" x14ac:dyDescent="0.4">
      <c r="A212" s="174" t="s">
        <v>771</v>
      </c>
      <c r="B212" s="148" t="s">
        <v>89</v>
      </c>
      <c r="C212" s="148" t="s">
        <v>89</v>
      </c>
      <c r="D212" s="148">
        <v>23398</v>
      </c>
      <c r="E212" s="148" t="s">
        <v>89</v>
      </c>
      <c r="F212" s="148" t="s">
        <v>89</v>
      </c>
      <c r="H212" s="499"/>
      <c r="I212" s="500"/>
      <c r="J212" s="148" t="s">
        <v>754</v>
      </c>
      <c r="K212" s="495" t="s">
        <v>89</v>
      </c>
      <c r="L212" s="495" t="s">
        <v>89</v>
      </c>
      <c r="M212" s="495" t="s">
        <v>89</v>
      </c>
      <c r="N212" s="495" t="s">
        <v>89</v>
      </c>
    </row>
    <row r="213" spans="1:14" ht="15" thickBot="1" x14ac:dyDescent="0.4">
      <c r="A213" s="174" t="s">
        <v>772</v>
      </c>
      <c r="B213" s="148" t="s">
        <v>89</v>
      </c>
      <c r="C213" s="148" t="s">
        <v>89</v>
      </c>
      <c r="D213" s="148">
        <v>23398</v>
      </c>
      <c r="E213" s="148" t="s">
        <v>89</v>
      </c>
      <c r="F213" s="148" t="s">
        <v>89</v>
      </c>
      <c r="H213" s="501"/>
      <c r="I213" s="502"/>
      <c r="J213" s="158" t="s">
        <v>773</v>
      </c>
      <c r="K213" s="496"/>
      <c r="L213" s="496"/>
      <c r="M213" s="496"/>
      <c r="N213" s="496"/>
    </row>
    <row r="214" spans="1:14" ht="15" thickBot="1" x14ac:dyDescent="0.4">
      <c r="A214" s="174" t="s">
        <v>774</v>
      </c>
      <c r="B214" s="148" t="s">
        <v>89</v>
      </c>
      <c r="C214" s="148" t="s">
        <v>89</v>
      </c>
      <c r="D214" s="148">
        <v>23398</v>
      </c>
      <c r="E214" s="148" t="s">
        <v>89</v>
      </c>
      <c r="F214" s="148" t="s">
        <v>89</v>
      </c>
      <c r="H214" s="497" t="s">
        <v>775</v>
      </c>
      <c r="I214" s="498"/>
      <c r="J214" s="148" t="s">
        <v>776</v>
      </c>
      <c r="K214" s="148" t="s">
        <v>777</v>
      </c>
      <c r="L214" s="148" t="s">
        <v>776</v>
      </c>
      <c r="M214" s="148" t="s">
        <v>777</v>
      </c>
      <c r="N214" s="148" t="s">
        <v>777</v>
      </c>
    </row>
    <row r="215" spans="1:14" ht="15" thickBot="1" x14ac:dyDescent="0.4">
      <c r="A215" s="174" t="s">
        <v>778</v>
      </c>
      <c r="B215" s="148" t="s">
        <v>89</v>
      </c>
      <c r="C215" s="148" t="s">
        <v>89</v>
      </c>
      <c r="D215" s="148">
        <v>23398</v>
      </c>
      <c r="E215" s="148" t="s">
        <v>89</v>
      </c>
      <c r="F215" s="148" t="s">
        <v>89</v>
      </c>
      <c r="H215" s="499"/>
      <c r="I215" s="500"/>
      <c r="J215" s="158" t="s">
        <v>779</v>
      </c>
      <c r="K215" s="158" t="s">
        <v>779</v>
      </c>
      <c r="L215" s="158" t="s">
        <v>780</v>
      </c>
      <c r="M215" s="158" t="s">
        <v>781</v>
      </c>
      <c r="N215" s="158" t="s">
        <v>782</v>
      </c>
    </row>
    <row r="216" spans="1:14" ht="15" thickBot="1" x14ac:dyDescent="0.4">
      <c r="A216" s="174" t="s">
        <v>783</v>
      </c>
      <c r="B216" s="148" t="s">
        <v>89</v>
      </c>
      <c r="C216" s="148" t="s">
        <v>89</v>
      </c>
      <c r="D216" s="148">
        <v>46796</v>
      </c>
      <c r="E216" s="148" t="s">
        <v>89</v>
      </c>
      <c r="F216" s="148" t="s">
        <v>89</v>
      </c>
      <c r="H216" s="499"/>
      <c r="I216" s="500"/>
      <c r="J216" s="148" t="s">
        <v>776</v>
      </c>
      <c r="K216" s="148" t="s">
        <v>776</v>
      </c>
      <c r="L216" s="148" t="s">
        <v>776</v>
      </c>
      <c r="M216" s="148" t="s">
        <v>784</v>
      </c>
      <c r="N216" s="148" t="s">
        <v>776</v>
      </c>
    </row>
    <row r="217" spans="1:14" ht="15" thickBot="1" x14ac:dyDescent="0.4">
      <c r="A217" s="174" t="s">
        <v>785</v>
      </c>
      <c r="B217" s="148" t="s">
        <v>89</v>
      </c>
      <c r="C217" s="148" t="s">
        <v>89</v>
      </c>
      <c r="D217" s="148">
        <v>46796</v>
      </c>
      <c r="E217" s="148" t="s">
        <v>89</v>
      </c>
      <c r="F217" s="148" t="s">
        <v>89</v>
      </c>
      <c r="H217" s="499"/>
      <c r="I217" s="500"/>
      <c r="J217" s="158" t="s">
        <v>786</v>
      </c>
      <c r="K217" s="158" t="s">
        <v>786</v>
      </c>
      <c r="L217" s="158" t="s">
        <v>787</v>
      </c>
      <c r="M217" s="158" t="s">
        <v>788</v>
      </c>
      <c r="N217" s="158" t="s">
        <v>782</v>
      </c>
    </row>
    <row r="218" spans="1:14" ht="15" thickBot="1" x14ac:dyDescent="0.4">
      <c r="A218" s="174" t="s">
        <v>789</v>
      </c>
      <c r="B218" s="148" t="s">
        <v>89</v>
      </c>
      <c r="C218" s="148" t="s">
        <v>89</v>
      </c>
      <c r="D218" s="148">
        <v>510017</v>
      </c>
      <c r="E218" s="148" t="s">
        <v>89</v>
      </c>
      <c r="F218" s="148" t="s">
        <v>89</v>
      </c>
      <c r="H218" s="499"/>
      <c r="I218" s="500"/>
      <c r="J218" s="148" t="s">
        <v>776</v>
      </c>
      <c r="K218" s="148" t="s">
        <v>776</v>
      </c>
      <c r="L218" s="148" t="s">
        <v>776</v>
      </c>
      <c r="M218" s="148" t="s">
        <v>776</v>
      </c>
      <c r="N218" s="148" t="s">
        <v>777</v>
      </c>
    </row>
    <row r="219" spans="1:14" ht="15" thickBot="1" x14ac:dyDescent="0.4">
      <c r="A219" s="181" t="s">
        <v>790</v>
      </c>
      <c r="B219" s="150" t="s">
        <v>89</v>
      </c>
      <c r="C219" s="150" t="s">
        <v>89</v>
      </c>
      <c r="D219" s="150" t="s">
        <v>89</v>
      </c>
      <c r="E219" s="150" t="s">
        <v>89</v>
      </c>
      <c r="F219" s="150" t="s">
        <v>89</v>
      </c>
      <c r="H219" s="501"/>
      <c r="I219" s="502"/>
      <c r="J219" s="158" t="s">
        <v>791</v>
      </c>
      <c r="K219" s="158" t="s">
        <v>792</v>
      </c>
      <c r="L219" s="158" t="s">
        <v>792</v>
      </c>
      <c r="M219" s="158" t="s">
        <v>793</v>
      </c>
      <c r="N219" s="158" t="s">
        <v>794</v>
      </c>
    </row>
    <row r="220" spans="1:14" ht="15" thickBot="1" x14ac:dyDescent="0.4">
      <c r="A220" s="181" t="s">
        <v>795</v>
      </c>
      <c r="B220" s="150" t="s">
        <v>89</v>
      </c>
      <c r="C220" s="150" t="s">
        <v>89</v>
      </c>
      <c r="D220" s="150" t="s">
        <v>89</v>
      </c>
      <c r="E220" s="150" t="s">
        <v>89</v>
      </c>
      <c r="F220" s="150" t="s">
        <v>89</v>
      </c>
      <c r="H220" s="497" t="s">
        <v>796</v>
      </c>
      <c r="I220" s="498"/>
      <c r="J220" s="148">
        <v>0.20902777777777778</v>
      </c>
      <c r="K220" s="495" t="s">
        <v>89</v>
      </c>
      <c r="L220" s="148">
        <v>0.20902777777777778</v>
      </c>
      <c r="M220" s="495" t="s">
        <v>89</v>
      </c>
      <c r="N220" s="495" t="s">
        <v>89</v>
      </c>
    </row>
    <row r="221" spans="1:14" ht="15" thickBot="1" x14ac:dyDescent="0.4">
      <c r="A221" s="181" t="s">
        <v>797</v>
      </c>
      <c r="B221" s="150" t="s">
        <v>89</v>
      </c>
      <c r="C221" s="150" t="s">
        <v>89</v>
      </c>
      <c r="D221" s="150" t="s">
        <v>89</v>
      </c>
      <c r="E221" s="150" t="s">
        <v>89</v>
      </c>
      <c r="F221" s="150" t="s">
        <v>89</v>
      </c>
      <c r="H221" s="499"/>
      <c r="I221" s="500"/>
      <c r="J221" s="158" t="s">
        <v>798</v>
      </c>
      <c r="K221" s="496"/>
      <c r="L221" s="158" t="s">
        <v>799</v>
      </c>
      <c r="M221" s="496"/>
      <c r="N221" s="496"/>
    </row>
    <row r="222" spans="1:14" ht="15" thickBot="1" x14ac:dyDescent="0.4">
      <c r="A222" s="181" t="s">
        <v>800</v>
      </c>
      <c r="B222" s="150" t="s">
        <v>89</v>
      </c>
      <c r="C222" s="150" t="s">
        <v>89</v>
      </c>
      <c r="D222" s="150" t="s">
        <v>89</v>
      </c>
      <c r="E222" s="150" t="s">
        <v>89</v>
      </c>
      <c r="F222" s="150" t="s">
        <v>89</v>
      </c>
      <c r="H222" s="492" t="s">
        <v>801</v>
      </c>
      <c r="I222" s="492"/>
      <c r="J222" s="155"/>
    </row>
    <row r="223" spans="1:14" ht="15" thickBot="1" x14ac:dyDescent="0.4">
      <c r="A223" s="181" t="s">
        <v>802</v>
      </c>
      <c r="B223" s="150" t="s">
        <v>89</v>
      </c>
      <c r="C223" s="150" t="s">
        <v>89</v>
      </c>
      <c r="D223" s="150" t="s">
        <v>89</v>
      </c>
      <c r="E223" s="150" t="s">
        <v>89</v>
      </c>
      <c r="F223" s="150" t="s">
        <v>89</v>
      </c>
      <c r="H223" s="493" t="s">
        <v>732</v>
      </c>
      <c r="I223" s="494"/>
      <c r="J223" s="156"/>
    </row>
    <row r="224" spans="1:14" ht="15" thickBot="1" x14ac:dyDescent="0.4">
      <c r="A224" s="181" t="s">
        <v>803</v>
      </c>
      <c r="B224" s="150" t="s">
        <v>89</v>
      </c>
      <c r="C224" s="150" t="s">
        <v>89</v>
      </c>
      <c r="D224" s="150" t="s">
        <v>89</v>
      </c>
      <c r="E224" s="150" t="s">
        <v>89</v>
      </c>
      <c r="F224" s="150" t="s">
        <v>89</v>
      </c>
      <c r="H224" s="159">
        <v>2024</v>
      </c>
      <c r="I224" s="260" t="s">
        <v>775</v>
      </c>
      <c r="J224" s="148" t="s">
        <v>784</v>
      </c>
    </row>
    <row r="225" spans="1:10" ht="15" thickBot="1" x14ac:dyDescent="0.4">
      <c r="A225" s="181" t="s">
        <v>804</v>
      </c>
      <c r="B225" s="150" t="s">
        <v>89</v>
      </c>
      <c r="C225" s="150" t="s">
        <v>89</v>
      </c>
      <c r="D225" s="150" t="s">
        <v>89</v>
      </c>
      <c r="E225" s="150" t="s">
        <v>89</v>
      </c>
      <c r="F225" s="150" t="s">
        <v>89</v>
      </c>
      <c r="H225" s="159"/>
      <c r="I225" s="260"/>
      <c r="J225" s="158" t="s">
        <v>805</v>
      </c>
    </row>
    <row r="226" spans="1:10" ht="15" thickBot="1" x14ac:dyDescent="0.4">
      <c r="H226" s="159"/>
      <c r="I226" s="260"/>
      <c r="J226" s="148" t="s">
        <v>784</v>
      </c>
    </row>
    <row r="227" spans="1:10" ht="15" thickBot="1" x14ac:dyDescent="0.4">
      <c r="H227" s="159"/>
      <c r="I227" s="260"/>
      <c r="J227" s="158" t="s">
        <v>792</v>
      </c>
    </row>
    <row r="228" spans="1:10" x14ac:dyDescent="0.35">
      <c r="H228" s="159">
        <v>2023</v>
      </c>
      <c r="I228" s="260" t="s">
        <v>734</v>
      </c>
      <c r="J228" s="148" t="s">
        <v>806</v>
      </c>
    </row>
  </sheetData>
  <mergeCells count="216">
    <mergeCell ref="H5:I5"/>
    <mergeCell ref="H6:I6"/>
    <mergeCell ref="H7:I7"/>
    <mergeCell ref="H8:I8"/>
    <mergeCell ref="H9:I9"/>
    <mergeCell ref="H10:I10"/>
    <mergeCell ref="H17:I17"/>
    <mergeCell ref="H18:I18"/>
    <mergeCell ref="H19:I19"/>
    <mergeCell ref="H20:I20"/>
    <mergeCell ref="H21:I21"/>
    <mergeCell ref="H22:I22"/>
    <mergeCell ref="H11:I11"/>
    <mergeCell ref="H12:I12"/>
    <mergeCell ref="H13:I13"/>
    <mergeCell ref="H14:I14"/>
    <mergeCell ref="H15:I15"/>
    <mergeCell ref="H16:I16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H45:I45"/>
    <mergeCell ref="H46:I46"/>
    <mergeCell ref="H47:I47"/>
    <mergeCell ref="H48:I48"/>
    <mergeCell ref="H49:I49"/>
    <mergeCell ref="H50:I50"/>
    <mergeCell ref="H35:I35"/>
    <mergeCell ref="H36:I36"/>
    <mergeCell ref="H37:I37"/>
    <mergeCell ref="H38:I38"/>
    <mergeCell ref="H43:I43"/>
    <mergeCell ref="H44:I44"/>
    <mergeCell ref="H57:I57"/>
    <mergeCell ref="H58:I58"/>
    <mergeCell ref="H59:I59"/>
    <mergeCell ref="H60:I60"/>
    <mergeCell ref="H61:I61"/>
    <mergeCell ref="H62:I62"/>
    <mergeCell ref="H51:I51"/>
    <mergeCell ref="H52:I52"/>
    <mergeCell ref="H53:I53"/>
    <mergeCell ref="H54:I54"/>
    <mergeCell ref="H55:I55"/>
    <mergeCell ref="H56:I56"/>
    <mergeCell ref="H69:I69"/>
    <mergeCell ref="H70:I70"/>
    <mergeCell ref="H71:I71"/>
    <mergeCell ref="H72:I72"/>
    <mergeCell ref="H73:I73"/>
    <mergeCell ref="H74:I74"/>
    <mergeCell ref="H63:I63"/>
    <mergeCell ref="H64:I64"/>
    <mergeCell ref="H65:I65"/>
    <mergeCell ref="H66:I66"/>
    <mergeCell ref="H67:I67"/>
    <mergeCell ref="H68:I68"/>
    <mergeCell ref="H81:I81"/>
    <mergeCell ref="H82:I82"/>
    <mergeCell ref="H83:I83"/>
    <mergeCell ref="H84:I84"/>
    <mergeCell ref="H85:I85"/>
    <mergeCell ref="H86:I86"/>
    <mergeCell ref="H75:I75"/>
    <mergeCell ref="H76:I76"/>
    <mergeCell ref="H77:I77"/>
    <mergeCell ref="H78:I78"/>
    <mergeCell ref="H79:I79"/>
    <mergeCell ref="H80:I80"/>
    <mergeCell ref="H93:I93"/>
    <mergeCell ref="H94:I94"/>
    <mergeCell ref="H95:I95"/>
    <mergeCell ref="H96:I96"/>
    <mergeCell ref="H97:I97"/>
    <mergeCell ref="H98:I98"/>
    <mergeCell ref="H87:I87"/>
    <mergeCell ref="H88:I88"/>
    <mergeCell ref="H89:I89"/>
    <mergeCell ref="H90:I90"/>
    <mergeCell ref="H91:I91"/>
    <mergeCell ref="H92:I92"/>
    <mergeCell ref="H105:I105"/>
    <mergeCell ref="H106:I106"/>
    <mergeCell ref="H107:I107"/>
    <mergeCell ref="H108:I108"/>
    <mergeCell ref="H109:I109"/>
    <mergeCell ref="H110:I110"/>
    <mergeCell ref="H99:I99"/>
    <mergeCell ref="H100:I100"/>
    <mergeCell ref="H101:I101"/>
    <mergeCell ref="H102:I102"/>
    <mergeCell ref="H103:I103"/>
    <mergeCell ref="H104:I104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H126:I126"/>
    <mergeCell ref="H127:I127"/>
    <mergeCell ref="H128:I128"/>
    <mergeCell ref="H141:I141"/>
    <mergeCell ref="H142:I142"/>
    <mergeCell ref="H143:I143"/>
    <mergeCell ref="H144:I144"/>
    <mergeCell ref="H145:I145"/>
    <mergeCell ref="H146:I146"/>
    <mergeCell ref="H135:I135"/>
    <mergeCell ref="H136:I136"/>
    <mergeCell ref="H137:I137"/>
    <mergeCell ref="H138:I138"/>
    <mergeCell ref="H139:I139"/>
    <mergeCell ref="H140:I140"/>
    <mergeCell ref="H153:I153"/>
    <mergeCell ref="H154:I154"/>
    <mergeCell ref="H155:I155"/>
    <mergeCell ref="H156:I156"/>
    <mergeCell ref="H157:I157"/>
    <mergeCell ref="H158:I158"/>
    <mergeCell ref="H147:I147"/>
    <mergeCell ref="H148:I148"/>
    <mergeCell ref="H149:I149"/>
    <mergeCell ref="H150:I150"/>
    <mergeCell ref="H151:I151"/>
    <mergeCell ref="H152:I152"/>
    <mergeCell ref="H165:I165"/>
    <mergeCell ref="H166:I166"/>
    <mergeCell ref="H167:I167"/>
    <mergeCell ref="H168:I168"/>
    <mergeCell ref="H169:I169"/>
    <mergeCell ref="H170:I170"/>
    <mergeCell ref="H159:I159"/>
    <mergeCell ref="H160:I160"/>
    <mergeCell ref="H161:I161"/>
    <mergeCell ref="H162:I162"/>
    <mergeCell ref="H163:I163"/>
    <mergeCell ref="H164:I164"/>
    <mergeCell ref="H177:I177"/>
    <mergeCell ref="H178:I178"/>
    <mergeCell ref="H179:I179"/>
    <mergeCell ref="H180:I180"/>
    <mergeCell ref="H181:I181"/>
    <mergeCell ref="H182:I182"/>
    <mergeCell ref="H171:I171"/>
    <mergeCell ref="H172:I172"/>
    <mergeCell ref="H173:I173"/>
    <mergeCell ref="H174:I174"/>
    <mergeCell ref="H175:I175"/>
    <mergeCell ref="H176:I176"/>
    <mergeCell ref="H189:I189"/>
    <mergeCell ref="H190:I190"/>
    <mergeCell ref="H191:I191"/>
    <mergeCell ref="H192:I192"/>
    <mergeCell ref="H193:I193"/>
    <mergeCell ref="H194:I194"/>
    <mergeCell ref="H183:I183"/>
    <mergeCell ref="H184:I184"/>
    <mergeCell ref="H185:I185"/>
    <mergeCell ref="H186:I186"/>
    <mergeCell ref="H187:I187"/>
    <mergeCell ref="H188:I188"/>
    <mergeCell ref="H195:I195"/>
    <mergeCell ref="H196:I201"/>
    <mergeCell ref="H202:I213"/>
    <mergeCell ref="M202:M203"/>
    <mergeCell ref="N202:N203"/>
    <mergeCell ref="L204:L205"/>
    <mergeCell ref="M204:M205"/>
    <mergeCell ref="N204:N205"/>
    <mergeCell ref="L206:L207"/>
    <mergeCell ref="M206:M207"/>
    <mergeCell ref="N206:N207"/>
    <mergeCell ref="K208:K209"/>
    <mergeCell ref="L208:L209"/>
    <mergeCell ref="M208:M209"/>
    <mergeCell ref="N208:N209"/>
    <mergeCell ref="K210:K211"/>
    <mergeCell ref="L210:L211"/>
    <mergeCell ref="M210:M211"/>
    <mergeCell ref="N210:N211"/>
    <mergeCell ref="H222:I222"/>
    <mergeCell ref="H223:I223"/>
    <mergeCell ref="K212:K213"/>
    <mergeCell ref="L212:L213"/>
    <mergeCell ref="M212:M213"/>
    <mergeCell ref="N212:N213"/>
    <mergeCell ref="H214:I219"/>
    <mergeCell ref="H220:I221"/>
    <mergeCell ref="K220:K221"/>
    <mergeCell ref="M220:M221"/>
    <mergeCell ref="N220:N2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2A65-D225-4A30-8B69-4AD817078D99}">
  <dimension ref="A1:E24"/>
  <sheetViews>
    <sheetView workbookViewId="0">
      <selection activeCell="E13" sqref="E13"/>
    </sheetView>
  </sheetViews>
  <sheetFormatPr defaultRowHeight="14.5" x14ac:dyDescent="0.35"/>
  <cols>
    <col min="2" max="2" width="21.81640625" customWidth="1"/>
  </cols>
  <sheetData>
    <row r="1" spans="1:5" x14ac:dyDescent="0.35">
      <c r="A1" s="99" t="s">
        <v>807</v>
      </c>
      <c r="B1" s="99"/>
      <c r="C1" s="194"/>
      <c r="D1" s="194"/>
      <c r="E1" s="194"/>
    </row>
    <row r="2" spans="1:5" x14ac:dyDescent="0.35">
      <c r="A2" s="194"/>
      <c r="B2" s="194"/>
      <c r="C2" s="194"/>
      <c r="D2" s="194"/>
      <c r="E2" s="194"/>
    </row>
    <row r="3" spans="1:5" x14ac:dyDescent="0.35">
      <c r="A3" s="195" t="s">
        <v>207</v>
      </c>
      <c r="B3" s="194"/>
      <c r="C3" s="194"/>
      <c r="D3" s="194"/>
      <c r="E3" s="194"/>
    </row>
    <row r="4" spans="1:5" ht="15" thickBot="1" x14ac:dyDescent="0.4">
      <c r="A4" s="195" t="s">
        <v>808</v>
      </c>
      <c r="B4" s="195"/>
      <c r="C4" s="194"/>
      <c r="D4" s="194"/>
      <c r="E4" s="194"/>
    </row>
    <row r="5" spans="1:5" ht="15" thickBot="1" x14ac:dyDescent="0.4">
      <c r="A5" s="524" t="s">
        <v>809</v>
      </c>
      <c r="B5" s="525"/>
      <c r="C5" s="196">
        <v>2020</v>
      </c>
      <c r="D5" s="196">
        <v>2021</v>
      </c>
      <c r="E5" s="196">
        <v>2022</v>
      </c>
    </row>
    <row r="6" spans="1:5" ht="15" thickBot="1" x14ac:dyDescent="0.4">
      <c r="A6" s="197" t="s">
        <v>809</v>
      </c>
      <c r="B6" s="198" t="s">
        <v>209</v>
      </c>
      <c r="C6" s="199" t="s">
        <v>210</v>
      </c>
      <c r="D6" s="199" t="s">
        <v>211</v>
      </c>
      <c r="E6" s="199" t="s">
        <v>212</v>
      </c>
    </row>
    <row r="7" spans="1:5" ht="15" thickBot="1" x14ac:dyDescent="0.4">
      <c r="A7" s="526" t="s">
        <v>810</v>
      </c>
      <c r="B7" s="527"/>
      <c r="C7" s="200">
        <v>0.85</v>
      </c>
      <c r="D7" s="200">
        <v>0.84</v>
      </c>
      <c r="E7" s="200">
        <v>0.85</v>
      </c>
    </row>
    <row r="8" spans="1:5" ht="15" thickBot="1" x14ac:dyDescent="0.4">
      <c r="A8" s="522" t="s">
        <v>216</v>
      </c>
      <c r="B8" s="523"/>
      <c r="C8" s="201">
        <v>50842</v>
      </c>
      <c r="D8" s="201">
        <v>51202</v>
      </c>
      <c r="E8" s="201">
        <v>50704</v>
      </c>
    </row>
    <row r="9" spans="1:5" ht="15" thickBot="1" x14ac:dyDescent="0.4">
      <c r="A9" s="522" t="s">
        <v>217</v>
      </c>
      <c r="B9" s="523"/>
      <c r="C9" s="201">
        <v>50842</v>
      </c>
      <c r="D9" s="201">
        <v>51202</v>
      </c>
      <c r="E9" s="201">
        <v>50704</v>
      </c>
    </row>
    <row r="10" spans="1:5" ht="15" thickBot="1" x14ac:dyDescent="0.4">
      <c r="A10" s="522" t="s">
        <v>219</v>
      </c>
      <c r="B10" s="523"/>
      <c r="C10" s="201">
        <v>27343</v>
      </c>
      <c r="D10" s="201">
        <v>29155</v>
      </c>
      <c r="E10" s="201">
        <v>30149</v>
      </c>
    </row>
    <row r="11" spans="1:5" ht="15" thickBot="1" x14ac:dyDescent="0.4">
      <c r="A11" s="522" t="s">
        <v>221</v>
      </c>
      <c r="B11" s="523"/>
      <c r="C11" s="201">
        <v>23499</v>
      </c>
      <c r="D11" s="201">
        <v>22047</v>
      </c>
      <c r="E11" s="201">
        <v>20556</v>
      </c>
    </row>
    <row r="12" spans="1:5" ht="15" thickBot="1" x14ac:dyDescent="0.4">
      <c r="A12" s="522" t="s">
        <v>223</v>
      </c>
      <c r="B12" s="523"/>
      <c r="C12" s="202">
        <v>0.4622</v>
      </c>
      <c r="D12" s="202">
        <v>0.43059999999999998</v>
      </c>
      <c r="E12" s="202">
        <v>0.40539999999999998</v>
      </c>
    </row>
    <row r="13" spans="1:5" ht="15" thickBot="1" x14ac:dyDescent="0.4">
      <c r="A13" s="526" t="s">
        <v>811</v>
      </c>
      <c r="B13" s="527"/>
      <c r="C13" s="200">
        <v>0.15</v>
      </c>
      <c r="D13" s="200">
        <v>0.16</v>
      </c>
      <c r="E13" s="200">
        <v>0.15</v>
      </c>
    </row>
    <row r="14" spans="1:5" ht="15" thickBot="1" x14ac:dyDescent="0.4">
      <c r="A14" s="522" t="s">
        <v>216</v>
      </c>
      <c r="B14" s="523"/>
      <c r="C14" s="201">
        <v>8794</v>
      </c>
      <c r="D14" s="201">
        <v>9717</v>
      </c>
      <c r="E14" s="201">
        <v>9252</v>
      </c>
    </row>
    <row r="15" spans="1:5" ht="15" thickBot="1" x14ac:dyDescent="0.4">
      <c r="A15" s="522" t="s">
        <v>217</v>
      </c>
      <c r="B15" s="523"/>
      <c r="C15" s="201">
        <v>8794</v>
      </c>
      <c r="D15" s="201">
        <v>9717</v>
      </c>
      <c r="E15" s="201">
        <v>9252</v>
      </c>
    </row>
    <row r="16" spans="1:5" ht="15" thickBot="1" x14ac:dyDescent="0.4">
      <c r="A16" s="522" t="s">
        <v>219</v>
      </c>
      <c r="B16" s="523"/>
      <c r="C16" s="201">
        <v>4625</v>
      </c>
      <c r="D16" s="201">
        <v>5486</v>
      </c>
      <c r="E16" s="201">
        <v>5910</v>
      </c>
    </row>
    <row r="17" spans="1:5" ht="15" thickBot="1" x14ac:dyDescent="0.4">
      <c r="A17" s="522" t="s">
        <v>221</v>
      </c>
      <c r="B17" s="523"/>
      <c r="C17" s="201">
        <v>4169</v>
      </c>
      <c r="D17" s="201">
        <v>4231</v>
      </c>
      <c r="E17" s="201">
        <v>3342</v>
      </c>
    </row>
    <row r="18" spans="1:5" ht="15" thickBot="1" x14ac:dyDescent="0.4">
      <c r="A18" s="522" t="s">
        <v>223</v>
      </c>
      <c r="B18" s="523"/>
      <c r="C18" s="202">
        <v>0.47410000000000002</v>
      </c>
      <c r="D18" s="202">
        <v>0.43540000000000001</v>
      </c>
      <c r="E18" s="202">
        <v>0.36120000000000002</v>
      </c>
    </row>
    <row r="19" spans="1:5" ht="15" thickBot="1" x14ac:dyDescent="0.4">
      <c r="A19" s="526" t="s">
        <v>812</v>
      </c>
      <c r="B19" s="527"/>
      <c r="C19" s="200">
        <v>1</v>
      </c>
      <c r="D19" s="200">
        <v>1</v>
      </c>
      <c r="E19" s="200">
        <v>1</v>
      </c>
    </row>
    <row r="20" spans="1:5" ht="15" thickBot="1" x14ac:dyDescent="0.4">
      <c r="A20" s="522" t="s">
        <v>216</v>
      </c>
      <c r="B20" s="523"/>
      <c r="C20" s="201">
        <v>59636</v>
      </c>
      <c r="D20" s="201">
        <v>60919</v>
      </c>
      <c r="E20" s="201">
        <v>59956</v>
      </c>
    </row>
    <row r="21" spans="1:5" ht="15" thickBot="1" x14ac:dyDescent="0.4">
      <c r="A21" s="522" t="s">
        <v>217</v>
      </c>
      <c r="B21" s="523"/>
      <c r="C21" s="201">
        <v>59636</v>
      </c>
      <c r="D21" s="201">
        <v>60919</v>
      </c>
      <c r="E21" s="201">
        <v>59956</v>
      </c>
    </row>
    <row r="22" spans="1:5" ht="15" thickBot="1" x14ac:dyDescent="0.4">
      <c r="A22" s="522" t="s">
        <v>219</v>
      </c>
      <c r="B22" s="523"/>
      <c r="C22" s="201">
        <v>31968</v>
      </c>
      <c r="D22" s="201">
        <v>34641</v>
      </c>
      <c r="E22" s="201">
        <v>36059</v>
      </c>
    </row>
    <row r="23" spans="1:5" ht="15" thickBot="1" x14ac:dyDescent="0.4">
      <c r="A23" s="522" t="s">
        <v>221</v>
      </c>
      <c r="B23" s="523"/>
      <c r="C23" s="201">
        <v>27669</v>
      </c>
      <c r="D23" s="201">
        <v>26278</v>
      </c>
      <c r="E23" s="201">
        <v>23897</v>
      </c>
    </row>
    <row r="24" spans="1:5" x14ac:dyDescent="0.35">
      <c r="A24" s="528" t="s">
        <v>223</v>
      </c>
      <c r="B24" s="529"/>
      <c r="C24" s="202">
        <v>0.46400000000000002</v>
      </c>
      <c r="D24" s="202">
        <v>0.43140000000000001</v>
      </c>
      <c r="E24" s="202">
        <v>0.39860000000000001</v>
      </c>
    </row>
  </sheetData>
  <mergeCells count="19">
    <mergeCell ref="A24:B24"/>
    <mergeCell ref="A18:B18"/>
    <mergeCell ref="A19:B19"/>
    <mergeCell ref="A20:B20"/>
    <mergeCell ref="A21:B21"/>
    <mergeCell ref="A22:B22"/>
    <mergeCell ref="A23:B23"/>
    <mergeCell ref="A17:B17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B5AF-B650-4A61-99D2-216180B4F129}">
  <dimension ref="A2:O129"/>
  <sheetViews>
    <sheetView workbookViewId="0">
      <selection activeCell="D25" sqref="D25"/>
    </sheetView>
  </sheetViews>
  <sheetFormatPr defaultRowHeight="14.5" x14ac:dyDescent="0.35"/>
  <cols>
    <col min="1" max="1" width="9.453125" bestFit="1" customWidth="1"/>
    <col min="3" max="3" width="13.54296875" customWidth="1"/>
    <col min="4" max="4" width="16.1796875" customWidth="1"/>
    <col min="5" max="5" width="16" customWidth="1"/>
    <col min="6" max="6" width="18.1796875" customWidth="1"/>
    <col min="7" max="7" width="11.54296875" customWidth="1"/>
    <col min="8" max="9" width="12.54296875" customWidth="1"/>
    <col min="10" max="10" width="16.7265625" customWidth="1"/>
    <col min="11" max="11" width="18.1796875" style="273" customWidth="1"/>
    <col min="12" max="12" width="18.1796875" customWidth="1"/>
    <col min="13" max="13" width="12.453125" customWidth="1"/>
    <col min="14" max="15" width="20" customWidth="1"/>
  </cols>
  <sheetData>
    <row r="2" spans="1:15" x14ac:dyDescent="0.35">
      <c r="A2" t="s">
        <v>813</v>
      </c>
      <c r="B2" t="s">
        <v>814</v>
      </c>
      <c r="C2" t="s">
        <v>815</v>
      </c>
      <c r="D2" t="s">
        <v>816</v>
      </c>
      <c r="E2" s="84" t="s">
        <v>817</v>
      </c>
      <c r="F2" t="s">
        <v>818</v>
      </c>
      <c r="G2" t="s">
        <v>819</v>
      </c>
      <c r="H2" t="s">
        <v>820</v>
      </c>
      <c r="I2" t="s">
        <v>196</v>
      </c>
      <c r="J2" t="s">
        <v>821</v>
      </c>
      <c r="K2" s="273" t="s">
        <v>822</v>
      </c>
      <c r="L2" t="s">
        <v>822</v>
      </c>
      <c r="M2" t="s">
        <v>823</v>
      </c>
      <c r="N2" t="s">
        <v>824</v>
      </c>
      <c r="O2" t="s">
        <v>825</v>
      </c>
    </row>
    <row r="3" spans="1:15" x14ac:dyDescent="0.35">
      <c r="A3" s="271">
        <v>45261</v>
      </c>
      <c r="B3" s="272">
        <v>69000</v>
      </c>
      <c r="C3" s="273">
        <f>B3/B4-1</f>
        <v>2.3738872403560762E-2</v>
      </c>
      <c r="D3" s="272">
        <v>1124.44</v>
      </c>
      <c r="E3" s="84">
        <f>D3/D4-1</f>
        <v>2.7702375403288348E-2</v>
      </c>
      <c r="F3" s="84">
        <f>K3/12</f>
        <v>2.0766666666666668E-3</v>
      </c>
      <c r="G3" s="275">
        <f>C3-F3</f>
        <v>2.1662205736894095E-2</v>
      </c>
      <c r="H3" s="51">
        <f>E3-F3</f>
        <v>2.5625708736621681E-2</v>
      </c>
      <c r="I3" s="274">
        <f>SLOPE(G3:G63,H3:H63)</f>
        <v>0.50355848386202717</v>
      </c>
      <c r="J3" s="274">
        <f>2/3*I3+1/3</f>
        <v>0.66903898924135141</v>
      </c>
      <c r="K3" s="273">
        <f>L3/100</f>
        <v>2.4920000000000001E-2</v>
      </c>
      <c r="L3">
        <v>2.492</v>
      </c>
      <c r="M3" s="84">
        <f>AVERAGE(K3:K63)</f>
        <v>3.2925245901639338E-2</v>
      </c>
      <c r="N3" s="51">
        <f>AVERAGE(E3:E63)</f>
        <v>6.116582577364864E-3</v>
      </c>
      <c r="O3" s="51">
        <v>9.5699999999999993E-2</v>
      </c>
    </row>
    <row r="4" spans="1:15" x14ac:dyDescent="0.35">
      <c r="A4" s="271">
        <v>45231</v>
      </c>
      <c r="B4" s="272">
        <v>67400</v>
      </c>
      <c r="C4" s="273">
        <f t="shared" ref="C4:C62" si="0">B4/B5-1</f>
        <v>-8.8235294117646745E-3</v>
      </c>
      <c r="D4" s="272">
        <v>1094.1300000000001</v>
      </c>
      <c r="E4" s="84">
        <f t="shared" ref="E4:E62" si="1">D4/D5-1</f>
        <v>6.4132115659557121E-2</v>
      </c>
      <c r="F4" s="84">
        <f t="shared" ref="F4:F63" si="2">K4/12</f>
        <v>2.071666666666667E-3</v>
      </c>
      <c r="G4" s="275">
        <f t="shared" ref="G4:G63" si="3">C4-F4</f>
        <v>-1.0895196078431341E-2</v>
      </c>
      <c r="H4" s="51">
        <f t="shared" ref="H4:H63" si="4">E4-F4</f>
        <v>6.2060448992890455E-2</v>
      </c>
      <c r="I4" s="274">
        <f>SLOPE(C3:C63,E3:E63)</f>
        <v>0.50398849442992721</v>
      </c>
      <c r="J4" s="274" t="s">
        <v>23</v>
      </c>
      <c r="K4" s="273">
        <f t="shared" ref="K4:K63" si="5">L4/100</f>
        <v>2.4860000000000004E-2</v>
      </c>
      <c r="L4">
        <v>2.4860000000000002</v>
      </c>
      <c r="M4" s="276" t="s">
        <v>23</v>
      </c>
      <c r="N4" s="51"/>
    </row>
    <row r="5" spans="1:15" x14ac:dyDescent="0.35">
      <c r="A5" s="271">
        <v>45200</v>
      </c>
      <c r="B5" s="272">
        <v>68000</v>
      </c>
      <c r="C5" s="273">
        <f t="shared" si="0"/>
        <v>-8.3557951482479798E-2</v>
      </c>
      <c r="D5" s="272">
        <v>1028.19</v>
      </c>
      <c r="E5" s="84">
        <f t="shared" si="1"/>
        <v>-0.10913659403023868</v>
      </c>
      <c r="F5" s="84">
        <f t="shared" si="2"/>
        <v>2.5558333333333336E-3</v>
      </c>
      <c r="G5" s="275">
        <f t="shared" si="3"/>
        <v>-8.6113784815813138E-2</v>
      </c>
      <c r="H5" s="51">
        <f t="shared" si="4"/>
        <v>-0.11169242736357202</v>
      </c>
      <c r="I5" s="274"/>
      <c r="J5" s="274"/>
      <c r="K5" s="273">
        <f t="shared" si="5"/>
        <v>3.0670000000000003E-2</v>
      </c>
      <c r="L5">
        <v>3.0670000000000002</v>
      </c>
      <c r="M5" s="277">
        <f>$M$3+J3*O3</f>
        <v>9.6952277172036666E-2</v>
      </c>
      <c r="N5" s="51"/>
    </row>
    <row r="6" spans="1:15" x14ac:dyDescent="0.35">
      <c r="A6" s="271">
        <v>45170</v>
      </c>
      <c r="B6" s="272">
        <v>74200</v>
      </c>
      <c r="C6" s="273">
        <f t="shared" si="0"/>
        <v>-4.6272493573264795E-2</v>
      </c>
      <c r="D6" s="272">
        <v>1154.1500000000001</v>
      </c>
      <c r="E6" s="84">
        <f t="shared" si="1"/>
        <v>-5.7105510395817016E-2</v>
      </c>
      <c r="F6" s="84">
        <f>K6/12</f>
        <v>2.3650000000000003E-3</v>
      </c>
      <c r="G6" s="275">
        <f t="shared" si="3"/>
        <v>-4.8637493573264794E-2</v>
      </c>
      <c r="H6" s="51">
        <f t="shared" si="4"/>
        <v>-5.9470510395817015E-2</v>
      </c>
      <c r="I6" s="51"/>
      <c r="J6" s="51"/>
      <c r="K6" s="273">
        <f t="shared" si="5"/>
        <v>2.8380000000000002E-2</v>
      </c>
      <c r="L6">
        <v>2.8380000000000001</v>
      </c>
      <c r="M6" s="84"/>
      <c r="N6" s="51"/>
    </row>
    <row r="7" spans="1:15" x14ac:dyDescent="0.35">
      <c r="A7" s="271">
        <v>45139</v>
      </c>
      <c r="B7" s="272">
        <v>77800</v>
      </c>
      <c r="C7" s="273">
        <f t="shared" si="0"/>
        <v>-2.564102564102555E-3</v>
      </c>
      <c r="D7" s="272">
        <v>1224.05</v>
      </c>
      <c r="E7" s="84">
        <f t="shared" si="1"/>
        <v>9.403876032381131E-4</v>
      </c>
      <c r="F7" s="84">
        <f t="shared" si="2"/>
        <v>2.2641666666666665E-3</v>
      </c>
      <c r="G7" s="275">
        <f t="shared" si="3"/>
        <v>-4.8282692307692211E-3</v>
      </c>
      <c r="H7" s="51">
        <f t="shared" si="4"/>
        <v>-1.3237790634285534E-3</v>
      </c>
      <c r="I7" s="51"/>
      <c r="J7" s="51"/>
      <c r="K7" s="273">
        <f t="shared" si="5"/>
        <v>2.717E-2</v>
      </c>
      <c r="L7">
        <v>2.7170000000000001</v>
      </c>
      <c r="M7" s="278">
        <f>AVERAGE(K3:K63)</f>
        <v>3.2925245901639338E-2</v>
      </c>
      <c r="N7" s="51"/>
    </row>
    <row r="8" spans="1:15" x14ac:dyDescent="0.35">
      <c r="A8" s="271">
        <v>45108</v>
      </c>
      <c r="B8" s="272">
        <v>78000</v>
      </c>
      <c r="C8" s="273">
        <f t="shared" si="0"/>
        <v>9.8591549295774739E-2</v>
      </c>
      <c r="D8" s="272">
        <v>1222.9000000000001</v>
      </c>
      <c r="E8" s="84">
        <f t="shared" si="1"/>
        <v>9.1699548286882537E-2</v>
      </c>
      <c r="F8" s="84">
        <f t="shared" si="2"/>
        <v>2.1341666666666666E-3</v>
      </c>
      <c r="G8" s="275">
        <f t="shared" si="3"/>
        <v>9.6457382629108065E-2</v>
      </c>
      <c r="H8" s="51">
        <f t="shared" si="4"/>
        <v>8.9565381620215864E-2</v>
      </c>
      <c r="I8" s="51"/>
      <c r="J8" s="51"/>
      <c r="K8" s="273">
        <f t="shared" si="5"/>
        <v>2.5610000000000001E-2</v>
      </c>
      <c r="L8">
        <v>2.5609999999999999</v>
      </c>
      <c r="M8" s="272"/>
      <c r="N8" s="51"/>
    </row>
    <row r="9" spans="1:15" x14ac:dyDescent="0.35">
      <c r="A9" s="271">
        <v>45078</v>
      </c>
      <c r="B9" s="272">
        <v>71000</v>
      </c>
      <c r="C9" s="273">
        <f t="shared" si="0"/>
        <v>7.4130105900151344E-2</v>
      </c>
      <c r="D9" s="272">
        <v>1120.18</v>
      </c>
      <c r="E9" s="84">
        <f t="shared" si="1"/>
        <v>4.1863147223229813E-2</v>
      </c>
      <c r="F9" s="84">
        <f t="shared" si="2"/>
        <v>2.2891666666666663E-3</v>
      </c>
      <c r="G9" s="275">
        <f t="shared" si="3"/>
        <v>7.1840939233484682E-2</v>
      </c>
      <c r="H9" s="51">
        <f t="shared" si="4"/>
        <v>3.9573980556563144E-2</v>
      </c>
      <c r="I9" s="51"/>
      <c r="J9" s="51"/>
      <c r="K9" s="273">
        <f t="shared" si="5"/>
        <v>2.7469999999999998E-2</v>
      </c>
      <c r="L9">
        <v>2.7469999999999999</v>
      </c>
      <c r="M9" s="272"/>
      <c r="N9" s="51"/>
    </row>
    <row r="10" spans="1:15" x14ac:dyDescent="0.35">
      <c r="A10" s="271">
        <v>45047</v>
      </c>
      <c r="B10" s="272">
        <v>66100</v>
      </c>
      <c r="C10" s="273">
        <f t="shared" si="0"/>
        <v>-5.5714285714285716E-2</v>
      </c>
      <c r="D10" s="272">
        <v>1075.17</v>
      </c>
      <c r="E10" s="84">
        <f t="shared" si="1"/>
        <v>2.4830333994204867E-2</v>
      </c>
      <c r="F10" s="84">
        <f t="shared" si="2"/>
        <v>2.725E-3</v>
      </c>
      <c r="G10" s="275">
        <f t="shared" si="3"/>
        <v>-5.8439285714285714E-2</v>
      </c>
      <c r="H10" s="51">
        <f t="shared" si="4"/>
        <v>2.2105333994204869E-2</v>
      </c>
      <c r="I10" s="51"/>
      <c r="J10" s="51"/>
      <c r="K10" s="273">
        <f t="shared" si="5"/>
        <v>3.27E-2</v>
      </c>
      <c r="L10">
        <v>3.27</v>
      </c>
      <c r="M10" s="272"/>
      <c r="N10" s="51"/>
    </row>
    <row r="11" spans="1:15" x14ac:dyDescent="0.35">
      <c r="A11" s="271">
        <v>45017</v>
      </c>
      <c r="B11" s="272">
        <v>70000</v>
      </c>
      <c r="C11" s="273">
        <f t="shared" si="0"/>
        <v>-5.9139784946236507E-2</v>
      </c>
      <c r="D11" s="272">
        <v>1049.1199999999999</v>
      </c>
      <c r="E11" s="84">
        <f t="shared" si="1"/>
        <v>-1.4577697625488661E-2</v>
      </c>
      <c r="F11" s="84">
        <f t="shared" si="2"/>
        <v>2.8024999999999999E-3</v>
      </c>
      <c r="G11" s="275">
        <f t="shared" si="3"/>
        <v>-6.1942284946236506E-2</v>
      </c>
      <c r="H11" s="51">
        <f t="shared" si="4"/>
        <v>-1.7380197625488661E-2</v>
      </c>
      <c r="I11" s="51"/>
      <c r="J11" s="51"/>
      <c r="K11" s="273">
        <f t="shared" si="5"/>
        <v>3.363E-2</v>
      </c>
      <c r="L11">
        <v>3.363</v>
      </c>
      <c r="M11" s="272"/>
      <c r="N11" s="51"/>
    </row>
    <row r="12" spans="1:15" x14ac:dyDescent="0.35">
      <c r="A12" s="271">
        <v>44986</v>
      </c>
      <c r="B12" s="272">
        <v>74400</v>
      </c>
      <c r="C12" s="273">
        <f t="shared" si="0"/>
        <v>-1.4569536423841067E-2</v>
      </c>
      <c r="D12" s="272">
        <v>1064.6400000000001</v>
      </c>
      <c r="E12" s="84">
        <f t="shared" si="1"/>
        <v>3.8997540695631772E-2</v>
      </c>
      <c r="F12" s="84">
        <f t="shared" si="2"/>
        <v>2.8908333333333334E-3</v>
      </c>
      <c r="G12" s="275">
        <f t="shared" si="3"/>
        <v>-1.7460369757174399E-2</v>
      </c>
      <c r="H12" s="51">
        <f t="shared" si="4"/>
        <v>3.6106707362298436E-2</v>
      </c>
      <c r="I12" s="51"/>
      <c r="J12" s="51"/>
      <c r="K12" s="273">
        <f t="shared" si="5"/>
        <v>3.4689999999999999E-2</v>
      </c>
      <c r="L12">
        <v>3.4689999999999999</v>
      </c>
      <c r="M12" s="272"/>
      <c r="N12" s="438" t="s">
        <v>826</v>
      </c>
      <c r="O12" s="438" t="s">
        <v>827</v>
      </c>
    </row>
    <row r="13" spans="1:15" x14ac:dyDescent="0.35">
      <c r="A13" s="271">
        <v>44958</v>
      </c>
      <c r="B13" s="272">
        <v>75500</v>
      </c>
      <c r="C13" s="273">
        <f t="shared" si="0"/>
        <v>-2.0752269779507171E-2</v>
      </c>
      <c r="D13" s="272">
        <v>1024.68</v>
      </c>
      <c r="E13" s="84">
        <f t="shared" si="1"/>
        <v>-7.7845173599236817E-2</v>
      </c>
      <c r="F13" s="84">
        <f t="shared" si="2"/>
        <v>3.7766666666666665E-3</v>
      </c>
      <c r="G13" s="275">
        <f t="shared" si="3"/>
        <v>-2.4528936446173839E-2</v>
      </c>
      <c r="H13" s="51">
        <f t="shared" si="4"/>
        <v>-8.1621840265903481E-2</v>
      </c>
      <c r="I13" s="51"/>
      <c r="J13" s="51"/>
      <c r="K13" s="273">
        <f t="shared" si="5"/>
        <v>4.5319999999999999E-2</v>
      </c>
      <c r="L13">
        <v>4.532</v>
      </c>
      <c r="M13" s="272"/>
      <c r="N13" s="440" t="s">
        <v>828</v>
      </c>
      <c r="O13" s="441">
        <f>M3</f>
        <v>3.2925245901639338E-2</v>
      </c>
    </row>
    <row r="14" spans="1:15" x14ac:dyDescent="0.35">
      <c r="A14" s="271">
        <v>44927</v>
      </c>
      <c r="B14" s="272">
        <v>77100</v>
      </c>
      <c r="C14" s="273">
        <f t="shared" si="0"/>
        <v>1.3140604467805517E-2</v>
      </c>
      <c r="D14" s="272">
        <v>1111.18</v>
      </c>
      <c r="E14" s="84">
        <f t="shared" si="1"/>
        <v>0.1033571974699381</v>
      </c>
      <c r="F14" s="84">
        <f t="shared" si="2"/>
        <v>3.8658333333333335E-3</v>
      </c>
      <c r="G14" s="275">
        <f t="shared" si="3"/>
        <v>9.2747711344721828E-3</v>
      </c>
      <c r="H14" s="51">
        <f t="shared" si="4"/>
        <v>9.9491364136604768E-2</v>
      </c>
      <c r="I14" s="51"/>
      <c r="J14" s="51"/>
      <c r="K14" s="273">
        <f t="shared" si="5"/>
        <v>4.6390000000000001E-2</v>
      </c>
      <c r="L14">
        <v>4.6390000000000002</v>
      </c>
      <c r="M14" s="272"/>
      <c r="N14" s="440" t="s">
        <v>829</v>
      </c>
      <c r="O14" s="441">
        <f>I3</f>
        <v>0.50355848386202717</v>
      </c>
    </row>
    <row r="15" spans="1:15" x14ac:dyDescent="0.35">
      <c r="A15" s="271">
        <v>44896</v>
      </c>
      <c r="B15" s="272">
        <v>76100</v>
      </c>
      <c r="C15" s="273">
        <f t="shared" si="0"/>
        <v>-6.448995648218725E-2</v>
      </c>
      <c r="D15" s="272">
        <v>1007.09</v>
      </c>
      <c r="E15" s="84">
        <f t="shared" si="1"/>
        <v>-3.9421224318498371E-2</v>
      </c>
      <c r="F15" s="84">
        <f t="shared" si="2"/>
        <v>4.1974999999999998E-3</v>
      </c>
      <c r="G15" s="275">
        <f t="shared" si="3"/>
        <v>-6.8687456482187242E-2</v>
      </c>
      <c r="H15" s="51">
        <f t="shared" si="4"/>
        <v>-4.3618724318498371E-2</v>
      </c>
      <c r="I15" s="51"/>
      <c r="J15" s="51"/>
      <c r="K15" s="273">
        <f t="shared" si="5"/>
        <v>5.0369999999999998E-2</v>
      </c>
      <c r="L15">
        <v>5.0369999999999999</v>
      </c>
      <c r="M15" s="272"/>
      <c r="N15" s="440" t="s">
        <v>830</v>
      </c>
      <c r="O15" s="441">
        <f>J3</f>
        <v>0.66903898924135141</v>
      </c>
    </row>
    <row r="16" spans="1:15" x14ac:dyDescent="0.35">
      <c r="A16" s="271">
        <v>44866</v>
      </c>
      <c r="B16" s="272">
        <v>81346</v>
      </c>
      <c r="C16" s="273">
        <f t="shared" si="0"/>
        <v>5.4784040663373057E-2</v>
      </c>
      <c r="D16" s="272">
        <v>1048.42</v>
      </c>
      <c r="E16" s="84">
        <f t="shared" si="1"/>
        <v>1.9923341829289676E-2</v>
      </c>
      <c r="F16" s="84">
        <f t="shared" si="2"/>
        <v>4.3033333333333335E-3</v>
      </c>
      <c r="G16" s="275">
        <f t="shared" si="3"/>
        <v>5.0480707330039724E-2</v>
      </c>
      <c r="H16" s="51">
        <f t="shared" si="4"/>
        <v>1.5620008495956343E-2</v>
      </c>
      <c r="I16" s="51"/>
      <c r="J16" s="51"/>
      <c r="K16" s="273">
        <f t="shared" si="5"/>
        <v>5.1639999999999998E-2</v>
      </c>
      <c r="L16">
        <v>5.1639999999999997</v>
      </c>
      <c r="M16" s="272"/>
      <c r="N16" s="440" t="s">
        <v>831</v>
      </c>
      <c r="O16" s="441">
        <f>O3</f>
        <v>9.5699999999999993E-2</v>
      </c>
    </row>
    <row r="17" spans="1:14" x14ac:dyDescent="0.35">
      <c r="A17" s="271">
        <v>44835</v>
      </c>
      <c r="B17" s="272">
        <v>77121</v>
      </c>
      <c r="C17" s="273">
        <f t="shared" si="0"/>
        <v>8.575249894410808E-2</v>
      </c>
      <c r="D17" s="272">
        <v>1027.94</v>
      </c>
      <c r="E17" s="84">
        <f t="shared" si="1"/>
        <v>-9.2014026905512636E-2</v>
      </c>
      <c r="F17" s="84">
        <f t="shared" si="2"/>
        <v>4.3283333333333333E-3</v>
      </c>
      <c r="G17" s="275">
        <f t="shared" si="3"/>
        <v>8.1424165610774743E-2</v>
      </c>
      <c r="H17" s="51">
        <f t="shared" si="4"/>
        <v>-9.6342360238845973E-2</v>
      </c>
      <c r="I17" s="51"/>
      <c r="J17" s="51"/>
      <c r="K17" s="273">
        <f t="shared" si="5"/>
        <v>5.194E-2</v>
      </c>
      <c r="L17">
        <v>5.194</v>
      </c>
      <c r="M17" s="272"/>
      <c r="N17" s="51"/>
    </row>
    <row r="18" spans="1:14" x14ac:dyDescent="0.35">
      <c r="A18" s="271">
        <v>44805</v>
      </c>
      <c r="B18" s="272">
        <v>71030</v>
      </c>
      <c r="C18" s="273">
        <f t="shared" si="0"/>
        <v>-4.2386820179577733E-2</v>
      </c>
      <c r="D18" s="272">
        <v>1132.1099999999999</v>
      </c>
      <c r="E18" s="84">
        <f t="shared" si="1"/>
        <v>-0.11589132455037454</v>
      </c>
      <c r="F18" s="84">
        <f t="shared" si="2"/>
        <v>4.1800000000000006E-3</v>
      </c>
      <c r="G18" s="275">
        <f t="shared" si="3"/>
        <v>-4.6566820179577736E-2</v>
      </c>
      <c r="H18" s="51">
        <f t="shared" si="4"/>
        <v>-0.12007132455037454</v>
      </c>
      <c r="I18" s="51"/>
      <c r="J18" s="51"/>
      <c r="K18" s="273">
        <f t="shared" si="5"/>
        <v>5.0160000000000003E-2</v>
      </c>
      <c r="L18">
        <v>5.016</v>
      </c>
      <c r="M18" s="272"/>
      <c r="N18" s="51"/>
    </row>
    <row r="19" spans="1:14" x14ac:dyDescent="0.35">
      <c r="A19" s="271">
        <v>44774</v>
      </c>
      <c r="B19" s="272">
        <v>74174</v>
      </c>
      <c r="C19" s="273">
        <f t="shared" si="0"/>
        <v>3.7094000363529611E-2</v>
      </c>
      <c r="D19" s="272">
        <v>1280.51</v>
      </c>
      <c r="E19" s="84">
        <f t="shared" si="1"/>
        <v>6.1492294811535952E-2</v>
      </c>
      <c r="F19" s="84">
        <f t="shared" si="2"/>
        <v>3.0675000000000003E-3</v>
      </c>
      <c r="G19" s="275">
        <f t="shared" si="3"/>
        <v>3.402650036352961E-2</v>
      </c>
      <c r="H19" s="51">
        <f t="shared" si="4"/>
        <v>5.8424794811535952E-2</v>
      </c>
      <c r="I19" s="51"/>
      <c r="J19" s="51"/>
      <c r="K19" s="273">
        <f t="shared" si="5"/>
        <v>3.6810000000000002E-2</v>
      </c>
      <c r="L19">
        <v>3.681</v>
      </c>
      <c r="M19" s="272"/>
      <c r="N19" s="51"/>
    </row>
    <row r="20" spans="1:14" x14ac:dyDescent="0.35">
      <c r="A20" s="271">
        <v>44743</v>
      </c>
      <c r="B20" s="272">
        <v>71521</v>
      </c>
      <c r="C20" s="273">
        <f t="shared" si="0"/>
        <v>4.2990681463549896E-2</v>
      </c>
      <c r="D20" s="272">
        <v>1206.33</v>
      </c>
      <c r="E20" s="84">
        <f t="shared" si="1"/>
        <v>7.2895791583167391E-3</v>
      </c>
      <c r="F20" s="84">
        <f t="shared" si="2"/>
        <v>3.0266666666666667E-3</v>
      </c>
      <c r="G20" s="275">
        <f t="shared" si="3"/>
        <v>3.9964014796883232E-2</v>
      </c>
      <c r="H20" s="51">
        <f t="shared" si="4"/>
        <v>4.262912491650072E-3</v>
      </c>
      <c r="I20" s="51"/>
      <c r="J20" s="51"/>
      <c r="K20" s="273">
        <f t="shared" si="5"/>
        <v>3.6319999999999998E-2</v>
      </c>
      <c r="L20">
        <v>3.6320000000000001</v>
      </c>
      <c r="M20" s="272"/>
      <c r="N20" s="51"/>
    </row>
    <row r="21" spans="1:14" x14ac:dyDescent="0.35">
      <c r="A21" s="271">
        <v>44713</v>
      </c>
      <c r="B21" s="272">
        <v>68573</v>
      </c>
      <c r="C21" s="273">
        <f t="shared" si="0"/>
        <v>6.9752415636288312E-3</v>
      </c>
      <c r="D21" s="272">
        <v>1197.5999999999999</v>
      </c>
      <c r="E21" s="84">
        <f t="shared" si="1"/>
        <v>-7.3552619364421368E-2</v>
      </c>
      <c r="F21" s="84">
        <f t="shared" si="2"/>
        <v>2.8066666666666669E-3</v>
      </c>
      <c r="G21" s="275">
        <f t="shared" si="3"/>
        <v>4.1685748969621638E-3</v>
      </c>
      <c r="H21" s="51">
        <f t="shared" si="4"/>
        <v>-7.6359286031088033E-2</v>
      </c>
      <c r="I21" s="51"/>
      <c r="J21" s="51"/>
      <c r="K21" s="273">
        <f t="shared" si="5"/>
        <v>3.3680000000000002E-2</v>
      </c>
      <c r="L21">
        <v>3.3679999999999999</v>
      </c>
      <c r="M21" s="272"/>
      <c r="N21" s="51"/>
    </row>
    <row r="22" spans="1:14" x14ac:dyDescent="0.35">
      <c r="A22" s="271">
        <v>44682</v>
      </c>
      <c r="B22" s="272">
        <v>68098</v>
      </c>
      <c r="C22" s="273">
        <f t="shared" si="0"/>
        <v>-3.3700849970910829E-2</v>
      </c>
      <c r="D22" s="272">
        <v>1292.68</v>
      </c>
      <c r="E22" s="84">
        <f t="shared" si="1"/>
        <v>-5.422885572139291E-2</v>
      </c>
      <c r="F22" s="84">
        <f t="shared" si="2"/>
        <v>2.7074999999999998E-3</v>
      </c>
      <c r="G22" s="275">
        <f t="shared" si="3"/>
        <v>-3.640834997091083E-2</v>
      </c>
      <c r="H22" s="51">
        <f t="shared" si="4"/>
        <v>-5.6936355721392912E-2</v>
      </c>
      <c r="I22" s="51"/>
      <c r="J22" s="51"/>
      <c r="K22" s="273">
        <f t="shared" si="5"/>
        <v>3.2489999999999998E-2</v>
      </c>
      <c r="L22">
        <v>3.2490000000000001</v>
      </c>
      <c r="M22" s="272"/>
      <c r="N22" s="51"/>
    </row>
    <row r="23" spans="1:14" x14ac:dyDescent="0.35">
      <c r="A23" s="271">
        <v>44652</v>
      </c>
      <c r="B23" s="272">
        <v>70473</v>
      </c>
      <c r="C23" s="273">
        <f t="shared" si="0"/>
        <v>-8.2812744026237728E-2</v>
      </c>
      <c r="D23" s="272">
        <v>1366.8</v>
      </c>
      <c r="E23" s="84">
        <f t="shared" si="1"/>
        <v>-8.4006299634755255E-2</v>
      </c>
      <c r="F23" s="84">
        <f t="shared" si="2"/>
        <v>2.5858333333333336E-3</v>
      </c>
      <c r="G23" s="275">
        <f t="shared" si="3"/>
        <v>-8.5398577359571057E-2</v>
      </c>
      <c r="H23" s="51">
        <f t="shared" si="4"/>
        <v>-8.6592132968088584E-2</v>
      </c>
      <c r="I23" s="51"/>
      <c r="J23" s="51"/>
      <c r="K23" s="273">
        <f t="shared" si="5"/>
        <v>3.1030000000000002E-2</v>
      </c>
      <c r="L23">
        <v>3.1030000000000002</v>
      </c>
      <c r="M23" s="272"/>
      <c r="N23" s="51"/>
    </row>
    <row r="24" spans="1:14" x14ac:dyDescent="0.35">
      <c r="A24" s="271">
        <v>44621</v>
      </c>
      <c r="B24" s="272">
        <v>76836</v>
      </c>
      <c r="C24" s="273">
        <f t="shared" si="0"/>
        <v>3.188203378904686E-2</v>
      </c>
      <c r="D24" s="272">
        <v>1492.15</v>
      </c>
      <c r="E24" s="84">
        <f t="shared" si="1"/>
        <v>1.3555864253453898E-3</v>
      </c>
      <c r="F24" s="84">
        <f t="shared" si="2"/>
        <v>2.0658333333333332E-3</v>
      </c>
      <c r="G24" s="275">
        <f t="shared" si="3"/>
        <v>2.9816200455713527E-2</v>
      </c>
      <c r="H24" s="51">
        <f t="shared" si="4"/>
        <v>-7.1024690798794339E-4</v>
      </c>
      <c r="I24" s="51"/>
      <c r="J24" s="51"/>
      <c r="K24" s="273">
        <f t="shared" si="5"/>
        <v>2.479E-2</v>
      </c>
      <c r="L24">
        <v>2.4790000000000001</v>
      </c>
      <c r="M24" s="272"/>
      <c r="N24" s="51"/>
    </row>
    <row r="25" spans="1:14" x14ac:dyDescent="0.35">
      <c r="A25" s="271">
        <v>44593</v>
      </c>
      <c r="B25" s="272">
        <v>74462</v>
      </c>
      <c r="C25" s="273">
        <f t="shared" si="0"/>
        <v>-5.6559308719560053E-2</v>
      </c>
      <c r="D25" s="272">
        <v>1490.13</v>
      </c>
      <c r="E25" s="84">
        <f t="shared" si="1"/>
        <v>7.5526045329150637E-3</v>
      </c>
      <c r="F25" s="84">
        <f t="shared" si="2"/>
        <v>1.9499999999999997E-3</v>
      </c>
      <c r="G25" s="275">
        <f t="shared" si="3"/>
        <v>-5.8509308719560053E-2</v>
      </c>
      <c r="H25" s="51">
        <f t="shared" si="4"/>
        <v>5.6026045329150643E-3</v>
      </c>
      <c r="I25" s="51"/>
      <c r="J25" s="51"/>
      <c r="K25" s="273">
        <f t="shared" si="5"/>
        <v>2.3399999999999997E-2</v>
      </c>
      <c r="L25">
        <v>2.34</v>
      </c>
      <c r="M25" s="272"/>
      <c r="N25" s="51"/>
    </row>
    <row r="26" spans="1:14" x14ac:dyDescent="0.35">
      <c r="A26" s="271">
        <v>44562</v>
      </c>
      <c r="B26" s="272">
        <v>78926</v>
      </c>
      <c r="C26" s="273">
        <f t="shared" si="0"/>
        <v>-2.2128060263653437E-2</v>
      </c>
      <c r="D26" s="272">
        <v>1478.96</v>
      </c>
      <c r="E26" s="84">
        <f t="shared" si="1"/>
        <v>-1.2894786021304339E-2</v>
      </c>
      <c r="F26" s="84">
        <f t="shared" si="2"/>
        <v>1.8024999999999996E-3</v>
      </c>
      <c r="G26" s="275">
        <f t="shared" si="3"/>
        <v>-2.3930560263653436E-2</v>
      </c>
      <c r="H26" s="51">
        <f t="shared" si="4"/>
        <v>-1.4697286021304339E-2</v>
      </c>
      <c r="I26" s="51"/>
      <c r="J26" s="51"/>
      <c r="K26" s="273">
        <f t="shared" si="5"/>
        <v>2.1629999999999996E-2</v>
      </c>
      <c r="L26">
        <v>2.1629999999999998</v>
      </c>
      <c r="M26" s="272"/>
      <c r="N26" s="51"/>
    </row>
    <row r="27" spans="1:14" x14ac:dyDescent="0.35">
      <c r="A27" s="271">
        <v>44531</v>
      </c>
      <c r="B27" s="272">
        <v>80712</v>
      </c>
      <c r="C27" s="273">
        <f t="shared" si="0"/>
        <v>-1.3698630136986356E-2</v>
      </c>
      <c r="D27" s="272">
        <v>1498.28</v>
      </c>
      <c r="E27" s="84">
        <f t="shared" si="1"/>
        <v>1.3419550336841501E-2</v>
      </c>
      <c r="F27" s="84">
        <f t="shared" si="2"/>
        <v>1.75E-3</v>
      </c>
      <c r="G27" s="275">
        <f t="shared" si="3"/>
        <v>-1.5448630136986356E-2</v>
      </c>
      <c r="H27" s="51">
        <f t="shared" si="4"/>
        <v>1.1669550336841502E-2</v>
      </c>
      <c r="K27" s="273">
        <f t="shared" si="5"/>
        <v>2.1000000000000001E-2</v>
      </c>
      <c r="L27">
        <v>2.1</v>
      </c>
      <c r="M27" s="272"/>
      <c r="N27" s="51"/>
    </row>
    <row r="28" spans="1:14" x14ac:dyDescent="0.35">
      <c r="A28" s="271">
        <v>44501</v>
      </c>
      <c r="B28" s="272">
        <v>81833</v>
      </c>
      <c r="C28" s="273">
        <f t="shared" si="0"/>
        <v>-3.4179560717109814E-2</v>
      </c>
      <c r="D28" s="272">
        <v>1478.44</v>
      </c>
      <c r="E28" s="84">
        <f t="shared" si="1"/>
        <v>2.3659011126728524E-2</v>
      </c>
      <c r="F28" s="84">
        <f t="shared" si="2"/>
        <v>1.7349999999999998E-3</v>
      </c>
      <c r="G28" s="275">
        <f t="shared" si="3"/>
        <v>-3.5914560717109814E-2</v>
      </c>
      <c r="H28" s="51">
        <f t="shared" si="4"/>
        <v>2.1924011126728524E-2</v>
      </c>
      <c r="K28" s="273">
        <f t="shared" si="5"/>
        <v>2.0819999999999998E-2</v>
      </c>
      <c r="L28">
        <v>2.0819999999999999</v>
      </c>
      <c r="M28" s="272"/>
      <c r="N28" s="51"/>
    </row>
    <row r="29" spans="1:14" x14ac:dyDescent="0.35">
      <c r="A29" s="271">
        <v>44470</v>
      </c>
      <c r="B29" s="272">
        <v>84729</v>
      </c>
      <c r="C29" s="273">
        <f t="shared" si="0"/>
        <v>1.2281812642620737E-2</v>
      </c>
      <c r="D29" s="272">
        <v>1444.27</v>
      </c>
      <c r="E29" s="84">
        <f t="shared" si="1"/>
        <v>7.6159039089161551E-2</v>
      </c>
      <c r="F29" s="84">
        <f t="shared" si="2"/>
        <v>1.7633333333333335E-3</v>
      </c>
      <c r="G29" s="275">
        <f t="shared" si="3"/>
        <v>1.0518479309287404E-2</v>
      </c>
      <c r="H29" s="51">
        <f t="shared" si="4"/>
        <v>7.4395705755828212E-2</v>
      </c>
      <c r="K29" s="273">
        <f t="shared" si="5"/>
        <v>2.1160000000000002E-2</v>
      </c>
      <c r="L29">
        <v>2.1160000000000001</v>
      </c>
      <c r="M29" s="272"/>
      <c r="N29" s="51"/>
    </row>
    <row r="30" spans="1:14" x14ac:dyDescent="0.35">
      <c r="A30" s="271">
        <v>44440</v>
      </c>
      <c r="B30" s="272">
        <v>83701</v>
      </c>
      <c r="C30" s="273">
        <f t="shared" si="0"/>
        <v>4.2886156069724235E-2</v>
      </c>
      <c r="D30" s="272">
        <v>1342.06</v>
      </c>
      <c r="E30" s="84">
        <f t="shared" si="1"/>
        <v>7.9536151772101604E-3</v>
      </c>
      <c r="F30" s="84">
        <f t="shared" si="2"/>
        <v>1.7766666666666668E-3</v>
      </c>
      <c r="G30" s="275">
        <f t="shared" si="3"/>
        <v>4.1109489403057566E-2</v>
      </c>
      <c r="H30" s="51">
        <f t="shared" si="4"/>
        <v>6.1769485105434936E-3</v>
      </c>
      <c r="K30" s="273">
        <f t="shared" si="5"/>
        <v>2.1320000000000002E-2</v>
      </c>
      <c r="L30">
        <v>2.1320000000000001</v>
      </c>
      <c r="M30" s="272"/>
      <c r="N30" s="51"/>
    </row>
    <row r="31" spans="1:14" x14ac:dyDescent="0.35">
      <c r="A31" s="271">
        <v>44409</v>
      </c>
      <c r="B31" s="272">
        <v>80259</v>
      </c>
      <c r="C31" s="273">
        <f t="shared" si="0"/>
        <v>1.5101498766837418E-2</v>
      </c>
      <c r="D31" s="272">
        <v>1331.47</v>
      </c>
      <c r="E31" s="84">
        <f t="shared" si="1"/>
        <v>1.635052097248213E-2</v>
      </c>
      <c r="F31" s="84">
        <f t="shared" si="2"/>
        <v>1.7458333333333336E-3</v>
      </c>
      <c r="G31" s="275">
        <f t="shared" si="3"/>
        <v>1.3355665433504084E-2</v>
      </c>
      <c r="H31" s="51">
        <f t="shared" si="4"/>
        <v>1.4604687639148796E-2</v>
      </c>
      <c r="K31" s="273">
        <f t="shared" si="5"/>
        <v>2.0950000000000003E-2</v>
      </c>
      <c r="L31">
        <v>2.0950000000000002</v>
      </c>
      <c r="M31" s="272"/>
      <c r="N31" s="51"/>
    </row>
    <row r="32" spans="1:14" x14ac:dyDescent="0.35">
      <c r="A32" s="271">
        <v>44378</v>
      </c>
      <c r="B32" s="272">
        <v>79065</v>
      </c>
      <c r="C32" s="273">
        <f t="shared" si="0"/>
        <v>-4.7570289348784489E-2</v>
      </c>
      <c r="D32" s="272">
        <v>1310.05</v>
      </c>
      <c r="E32" s="84">
        <f t="shared" si="1"/>
        <v>-6.9930069930069894E-2</v>
      </c>
      <c r="F32" s="84">
        <f t="shared" si="2"/>
        <v>1.7941666666666668E-3</v>
      </c>
      <c r="G32" s="275">
        <f t="shared" si="3"/>
        <v>-4.9364456015451155E-2</v>
      </c>
      <c r="H32" s="51">
        <f t="shared" si="4"/>
        <v>-7.172423659673656E-2</v>
      </c>
      <c r="K32" s="273">
        <f t="shared" si="5"/>
        <v>2.1530000000000001E-2</v>
      </c>
      <c r="L32">
        <v>2.153</v>
      </c>
      <c r="M32" s="272"/>
      <c r="N32" s="51"/>
    </row>
    <row r="33" spans="1:14" x14ac:dyDescent="0.35">
      <c r="A33" s="271">
        <v>44348</v>
      </c>
      <c r="B33" s="272">
        <v>83014</v>
      </c>
      <c r="C33" s="273">
        <f t="shared" si="0"/>
        <v>-1.0950003008242115E-3</v>
      </c>
      <c r="D33" s="272">
        <v>1408.55</v>
      </c>
      <c r="E33" s="84">
        <f t="shared" si="1"/>
        <v>6.0615187681186677E-2</v>
      </c>
      <c r="F33" s="84">
        <f t="shared" si="2"/>
        <v>1.8116666666666665E-3</v>
      </c>
      <c r="G33" s="275">
        <f t="shared" si="3"/>
        <v>-2.9066669674908778E-3</v>
      </c>
      <c r="H33" s="51">
        <f t="shared" si="4"/>
        <v>5.8803521014520008E-2</v>
      </c>
      <c r="K33" s="273">
        <f t="shared" si="5"/>
        <v>2.1739999999999999E-2</v>
      </c>
      <c r="L33">
        <v>2.1739999999999999</v>
      </c>
      <c r="M33" s="272"/>
      <c r="N33" s="51"/>
    </row>
    <row r="34" spans="1:14" x14ac:dyDescent="0.35">
      <c r="A34" s="271">
        <v>44317</v>
      </c>
      <c r="B34" s="272">
        <v>83105</v>
      </c>
      <c r="C34" s="273">
        <f t="shared" si="0"/>
        <v>-3.2087118565105932E-2</v>
      </c>
      <c r="D34" s="272">
        <v>1328.05</v>
      </c>
      <c r="E34" s="84">
        <f t="shared" si="1"/>
        <v>7.1535190698650108E-2</v>
      </c>
      <c r="F34" s="84">
        <f t="shared" si="2"/>
        <v>1.8941666666666666E-3</v>
      </c>
      <c r="G34" s="275">
        <f t="shared" si="3"/>
        <v>-3.3981285231772601E-2</v>
      </c>
      <c r="H34" s="51">
        <f t="shared" si="4"/>
        <v>6.9641024031983439E-2</v>
      </c>
      <c r="K34" s="273">
        <f t="shared" si="5"/>
        <v>2.273E-2</v>
      </c>
      <c r="L34">
        <v>2.2730000000000001</v>
      </c>
      <c r="M34" s="272"/>
      <c r="N34" s="51"/>
    </row>
    <row r="35" spans="1:14" x14ac:dyDescent="0.35">
      <c r="A35" s="271">
        <v>44287</v>
      </c>
      <c r="B35" s="272">
        <v>85860</v>
      </c>
      <c r="C35" s="273">
        <f t="shared" si="0"/>
        <v>-4.980079681274896E-2</v>
      </c>
      <c r="D35" s="272">
        <v>1239.3900000000001</v>
      </c>
      <c r="E35" s="84">
        <f t="shared" si="1"/>
        <v>4.0245417310145637E-2</v>
      </c>
      <c r="F35" s="84">
        <f t="shared" si="2"/>
        <v>1.9275000000000002E-3</v>
      </c>
      <c r="G35" s="275">
        <f t="shared" si="3"/>
        <v>-5.1728296812748958E-2</v>
      </c>
      <c r="H35" s="51">
        <f t="shared" si="4"/>
        <v>3.8317917310145638E-2</v>
      </c>
      <c r="K35" s="273">
        <f t="shared" si="5"/>
        <v>2.3130000000000001E-2</v>
      </c>
      <c r="L35">
        <v>2.3130000000000002</v>
      </c>
      <c r="M35" s="272"/>
      <c r="N35" s="51"/>
    </row>
    <row r="36" spans="1:14" x14ac:dyDescent="0.35">
      <c r="A36" s="271">
        <v>44256</v>
      </c>
      <c r="B36" s="272">
        <v>90360</v>
      </c>
      <c r="C36" s="273">
        <f t="shared" si="0"/>
        <v>-6.1067988403628592E-2</v>
      </c>
      <c r="D36" s="272">
        <v>1191.44</v>
      </c>
      <c r="E36" s="84">
        <f t="shared" si="1"/>
        <v>1.9658185490427638E-2</v>
      </c>
      <c r="F36" s="84">
        <f t="shared" si="2"/>
        <v>1.9883333333333337E-3</v>
      </c>
      <c r="G36" s="275">
        <f t="shared" si="3"/>
        <v>-6.3056321736961921E-2</v>
      </c>
      <c r="H36" s="51">
        <f t="shared" si="4"/>
        <v>1.7669852157094303E-2</v>
      </c>
      <c r="K36" s="273">
        <f t="shared" si="5"/>
        <v>2.3860000000000003E-2</v>
      </c>
      <c r="L36">
        <v>2.3860000000000001</v>
      </c>
      <c r="M36" s="272"/>
      <c r="N36" s="51"/>
    </row>
    <row r="37" spans="1:14" x14ac:dyDescent="0.35">
      <c r="A37" s="271">
        <v>44228</v>
      </c>
      <c r="B37" s="272">
        <v>96237</v>
      </c>
      <c r="C37" s="273">
        <f t="shared" si="0"/>
        <v>1.9459745762711922E-2</v>
      </c>
      <c r="D37" s="272">
        <v>1168.47</v>
      </c>
      <c r="E37" s="84">
        <f t="shared" si="1"/>
        <v>0.10586687614162282</v>
      </c>
      <c r="F37" s="84">
        <f t="shared" si="2"/>
        <v>1.9625000000000003E-3</v>
      </c>
      <c r="G37" s="275">
        <f t="shared" si="3"/>
        <v>1.7497245762711923E-2</v>
      </c>
      <c r="H37" s="51">
        <f t="shared" si="4"/>
        <v>0.10390437614162282</v>
      </c>
      <c r="K37" s="273">
        <f t="shared" si="5"/>
        <v>2.3550000000000001E-2</v>
      </c>
      <c r="L37">
        <v>2.355</v>
      </c>
      <c r="M37" s="272"/>
      <c r="N37" s="51"/>
    </row>
    <row r="38" spans="1:14" x14ac:dyDescent="0.35">
      <c r="A38" s="271">
        <v>44197</v>
      </c>
      <c r="B38" s="272">
        <v>94400</v>
      </c>
      <c r="C38" s="273">
        <f t="shared" si="0"/>
        <v>-4.6426118226999047E-2</v>
      </c>
      <c r="D38" s="272">
        <v>1056.6099999999999</v>
      </c>
      <c r="E38" s="84">
        <f t="shared" si="1"/>
        <v>-4.281301240182267E-2</v>
      </c>
      <c r="F38" s="84">
        <f t="shared" si="2"/>
        <v>1.9199999999999998E-3</v>
      </c>
      <c r="G38" s="275">
        <f t="shared" si="3"/>
        <v>-4.8346118226999045E-2</v>
      </c>
      <c r="H38" s="51">
        <f t="shared" si="4"/>
        <v>-4.4733012401822668E-2</v>
      </c>
      <c r="K38" s="273">
        <f t="shared" si="5"/>
        <v>2.3039999999999998E-2</v>
      </c>
      <c r="L38">
        <v>2.3039999999999998</v>
      </c>
      <c r="M38" s="272"/>
      <c r="N38" s="51"/>
    </row>
    <row r="39" spans="1:14" x14ac:dyDescent="0.35">
      <c r="A39" s="271">
        <v>44166</v>
      </c>
      <c r="B39" s="272">
        <v>98996</v>
      </c>
      <c r="C39" s="273">
        <f t="shared" si="0"/>
        <v>5.54596241747074E-3</v>
      </c>
      <c r="D39" s="272">
        <v>1103.8699999999999</v>
      </c>
      <c r="E39" s="84">
        <f t="shared" si="1"/>
        <v>0.10048051999840468</v>
      </c>
      <c r="F39" s="84">
        <f t="shared" si="2"/>
        <v>2.0425E-3</v>
      </c>
      <c r="G39" s="275">
        <f t="shared" si="3"/>
        <v>3.50346241747074E-3</v>
      </c>
      <c r="H39" s="51">
        <f t="shared" si="4"/>
        <v>9.843801999840468E-2</v>
      </c>
      <c r="K39" s="273">
        <f t="shared" si="5"/>
        <v>2.4510000000000001E-2</v>
      </c>
      <c r="L39">
        <v>2.4510000000000001</v>
      </c>
      <c r="M39" s="272"/>
      <c r="N39" s="51"/>
    </row>
    <row r="40" spans="1:14" x14ac:dyDescent="0.35">
      <c r="A40" s="271">
        <v>44136</v>
      </c>
      <c r="B40" s="272">
        <v>98450</v>
      </c>
      <c r="C40" s="273">
        <f t="shared" si="0"/>
        <v>1.8520779908006713E-3</v>
      </c>
      <c r="D40" s="272">
        <v>1003.08</v>
      </c>
      <c r="E40" s="84">
        <f t="shared" si="1"/>
        <v>8.3860092709650225E-2</v>
      </c>
      <c r="F40" s="84">
        <f t="shared" si="2"/>
        <v>2.0174999999999998E-3</v>
      </c>
      <c r="G40" s="275">
        <f t="shared" si="3"/>
        <v>-1.654220091993285E-4</v>
      </c>
      <c r="H40" s="51">
        <f t="shared" si="4"/>
        <v>8.1842592709650219E-2</v>
      </c>
      <c r="K40" s="273">
        <f t="shared" si="5"/>
        <v>2.4209999999999999E-2</v>
      </c>
      <c r="L40">
        <v>2.4209999999999998</v>
      </c>
      <c r="M40" s="272"/>
      <c r="N40" s="51"/>
    </row>
    <row r="41" spans="1:14" x14ac:dyDescent="0.35">
      <c r="A41" s="271">
        <v>44105</v>
      </c>
      <c r="B41" s="272">
        <v>98268</v>
      </c>
      <c r="C41" s="273">
        <f t="shared" si="0"/>
        <v>-8.2654636834297301E-3</v>
      </c>
      <c r="D41">
        <v>925.47</v>
      </c>
      <c r="E41" s="84">
        <f t="shared" si="1"/>
        <v>2.2381546823388998E-2</v>
      </c>
      <c r="F41" s="84">
        <f t="shared" si="2"/>
        <v>2.1449999999999998E-3</v>
      </c>
      <c r="G41" s="275">
        <f t="shared" si="3"/>
        <v>-1.0410463683429729E-2</v>
      </c>
      <c r="H41" s="51">
        <f t="shared" si="4"/>
        <v>2.0236546823388997E-2</v>
      </c>
      <c r="K41" s="273">
        <f t="shared" si="5"/>
        <v>2.5739999999999999E-2</v>
      </c>
      <c r="L41">
        <v>2.5739999999999998</v>
      </c>
      <c r="N41" s="51"/>
    </row>
    <row r="42" spans="1:14" x14ac:dyDescent="0.35">
      <c r="A42" s="271">
        <v>44075</v>
      </c>
      <c r="B42" s="272">
        <v>99087</v>
      </c>
      <c r="C42" s="273">
        <f t="shared" si="0"/>
        <v>9.420689959803874E-2</v>
      </c>
      <c r="D42">
        <v>905.21</v>
      </c>
      <c r="E42" s="84">
        <f t="shared" si="1"/>
        <v>2.6722622355810133E-2</v>
      </c>
      <c r="F42" s="84">
        <f t="shared" si="2"/>
        <v>2.2858333333333333E-3</v>
      </c>
      <c r="G42" s="275">
        <f t="shared" si="3"/>
        <v>9.1921066264705406E-2</v>
      </c>
      <c r="H42" s="51">
        <f t="shared" si="4"/>
        <v>2.4436789022476799E-2</v>
      </c>
      <c r="K42" s="273">
        <f t="shared" si="5"/>
        <v>2.743E-2</v>
      </c>
      <c r="L42">
        <v>2.7429999999999999</v>
      </c>
      <c r="N42" s="51"/>
    </row>
    <row r="43" spans="1:14" x14ac:dyDescent="0.35">
      <c r="A43" s="271">
        <v>44044</v>
      </c>
      <c r="B43" s="272">
        <v>90556</v>
      </c>
      <c r="C43" s="273">
        <f t="shared" si="0"/>
        <v>0.13084742376183223</v>
      </c>
      <c r="D43">
        <v>881.65</v>
      </c>
      <c r="E43" s="84">
        <f t="shared" si="1"/>
        <v>0.10428487330753144</v>
      </c>
      <c r="F43" s="84">
        <f t="shared" si="2"/>
        <v>2.3941666666666668E-3</v>
      </c>
      <c r="G43" s="275">
        <f t="shared" si="3"/>
        <v>0.12845325709516556</v>
      </c>
      <c r="H43" s="51">
        <f t="shared" si="4"/>
        <v>0.10189070664086478</v>
      </c>
      <c r="K43" s="273">
        <f t="shared" si="5"/>
        <v>2.8730000000000002E-2</v>
      </c>
      <c r="L43">
        <v>2.8730000000000002</v>
      </c>
      <c r="N43" s="51"/>
    </row>
    <row r="44" spans="1:14" x14ac:dyDescent="0.35">
      <c r="A44" s="271">
        <v>44013</v>
      </c>
      <c r="B44" s="272">
        <v>80078</v>
      </c>
      <c r="C44" s="273">
        <f t="shared" si="0"/>
        <v>-5.057858294603057E-2</v>
      </c>
      <c r="D44">
        <v>798.39</v>
      </c>
      <c r="E44" s="84">
        <f t="shared" si="1"/>
        <v>-3.2383560979748149E-2</v>
      </c>
      <c r="F44" s="84">
        <f t="shared" si="2"/>
        <v>2.4716666666666667E-3</v>
      </c>
      <c r="G44" s="275">
        <f t="shared" si="3"/>
        <v>-5.3050249612697234E-2</v>
      </c>
      <c r="H44" s="51">
        <f t="shared" si="4"/>
        <v>-3.4855227646414813E-2</v>
      </c>
      <c r="K44" s="273">
        <f t="shared" si="5"/>
        <v>2.9660000000000002E-2</v>
      </c>
      <c r="L44">
        <v>2.9660000000000002</v>
      </c>
      <c r="N44" s="51"/>
    </row>
    <row r="45" spans="1:14" x14ac:dyDescent="0.35">
      <c r="A45" s="271">
        <v>43983</v>
      </c>
      <c r="B45" s="272">
        <v>84344</v>
      </c>
      <c r="C45" s="273">
        <f t="shared" si="0"/>
        <v>-7.1452955233016757E-3</v>
      </c>
      <c r="D45">
        <v>825.11</v>
      </c>
      <c r="E45" s="84">
        <f t="shared" si="1"/>
        <v>-4.5530787650236548E-2</v>
      </c>
      <c r="F45" s="84">
        <f t="shared" si="2"/>
        <v>2.5274999999999998E-3</v>
      </c>
      <c r="G45" s="275">
        <f t="shared" si="3"/>
        <v>-9.672795523301676E-3</v>
      </c>
      <c r="H45" s="51">
        <f t="shared" si="4"/>
        <v>-4.805828765023655E-2</v>
      </c>
      <c r="K45" s="273">
        <f t="shared" si="5"/>
        <v>3.0329999999999999E-2</v>
      </c>
      <c r="L45">
        <v>3.0329999999999999</v>
      </c>
      <c r="N45" s="51"/>
    </row>
    <row r="46" spans="1:14" x14ac:dyDescent="0.35">
      <c r="A46" s="271">
        <v>43952</v>
      </c>
      <c r="B46" s="272">
        <v>84951</v>
      </c>
      <c r="C46" s="273">
        <f t="shared" si="0"/>
        <v>0.16161187988842096</v>
      </c>
      <c r="D46">
        <v>864.47</v>
      </c>
      <c r="E46" s="84">
        <f t="shared" si="1"/>
        <v>0.12398746603216715</v>
      </c>
      <c r="F46" s="84">
        <f t="shared" si="2"/>
        <v>2.6216666666666667E-3</v>
      </c>
      <c r="G46" s="275">
        <f t="shared" si="3"/>
        <v>0.1589902132217543</v>
      </c>
      <c r="H46" s="51">
        <f t="shared" si="4"/>
        <v>0.12136579936550049</v>
      </c>
      <c r="K46" s="273">
        <f t="shared" si="5"/>
        <v>3.1460000000000002E-2</v>
      </c>
      <c r="L46">
        <v>3.1459999999999999</v>
      </c>
      <c r="N46" s="51"/>
    </row>
    <row r="47" spans="1:14" x14ac:dyDescent="0.35">
      <c r="A47" s="271">
        <v>43922</v>
      </c>
      <c r="B47" s="272">
        <v>73132</v>
      </c>
      <c r="C47" s="273">
        <f t="shared" si="0"/>
        <v>8.7917646008747186E-2</v>
      </c>
      <c r="D47">
        <v>769.11</v>
      </c>
      <c r="E47" s="84">
        <f t="shared" si="1"/>
        <v>0.16086818710096162</v>
      </c>
      <c r="F47" s="84">
        <f t="shared" si="2"/>
        <v>2.5416666666666665E-3</v>
      </c>
      <c r="G47" s="275">
        <f t="shared" si="3"/>
        <v>8.5375979342080521E-2</v>
      </c>
      <c r="H47" s="51">
        <f t="shared" si="4"/>
        <v>0.15832652043429496</v>
      </c>
      <c r="K47" s="273">
        <f t="shared" si="5"/>
        <v>3.0499999999999999E-2</v>
      </c>
      <c r="L47">
        <v>3.05</v>
      </c>
      <c r="N47" s="51"/>
    </row>
    <row r="48" spans="1:14" x14ac:dyDescent="0.35">
      <c r="A48" s="271">
        <v>43891</v>
      </c>
      <c r="B48" s="272">
        <v>67222</v>
      </c>
      <c r="C48" s="273">
        <f t="shared" si="0"/>
        <v>-0.12919230520111402</v>
      </c>
      <c r="D48">
        <v>662.53</v>
      </c>
      <c r="E48" s="84">
        <f t="shared" si="1"/>
        <v>-0.2489939808884708</v>
      </c>
      <c r="F48" s="84">
        <f t="shared" si="2"/>
        <v>2.9308333333333335E-3</v>
      </c>
      <c r="G48" s="275">
        <f t="shared" si="3"/>
        <v>-0.13212313853444735</v>
      </c>
      <c r="H48" s="51">
        <f t="shared" si="4"/>
        <v>-0.25192481422180413</v>
      </c>
      <c r="K48" s="273">
        <f t="shared" si="5"/>
        <v>3.517E-2</v>
      </c>
      <c r="L48">
        <v>3.5169999999999999</v>
      </c>
      <c r="N48" s="51"/>
    </row>
    <row r="49" spans="1:14" x14ac:dyDescent="0.35">
      <c r="A49" s="271">
        <v>43862</v>
      </c>
      <c r="B49" s="272">
        <v>77195</v>
      </c>
      <c r="C49" s="273">
        <f t="shared" si="0"/>
        <v>-3.6868371802869615E-2</v>
      </c>
      <c r="D49">
        <v>882.19</v>
      </c>
      <c r="E49" s="84">
        <f t="shared" si="1"/>
        <v>-5.8113215605047897E-2</v>
      </c>
      <c r="F49" s="84">
        <f t="shared" si="2"/>
        <v>2.3799999999999997E-3</v>
      </c>
      <c r="G49" s="275">
        <f t="shared" si="3"/>
        <v>-3.9248371802869615E-2</v>
      </c>
      <c r="H49" s="51">
        <f t="shared" si="4"/>
        <v>-6.0493215605047897E-2</v>
      </c>
      <c r="K49" s="273">
        <f t="shared" si="5"/>
        <v>2.8559999999999999E-2</v>
      </c>
      <c r="L49">
        <v>2.8559999999999999</v>
      </c>
      <c r="N49" s="51"/>
    </row>
    <row r="50" spans="1:14" x14ac:dyDescent="0.35">
      <c r="A50" s="271">
        <v>43831</v>
      </c>
      <c r="B50" s="272">
        <v>80150</v>
      </c>
      <c r="C50" s="273">
        <f t="shared" si="0"/>
        <v>-6.866219686494146E-2</v>
      </c>
      <c r="D50">
        <v>936.62</v>
      </c>
      <c r="E50" s="84">
        <f t="shared" si="1"/>
        <v>-2.5359264924713076E-2</v>
      </c>
      <c r="F50" s="84">
        <f t="shared" si="2"/>
        <v>2.6308333333333335E-3</v>
      </c>
      <c r="G50" s="275">
        <f t="shared" si="3"/>
        <v>-7.1293030198274793E-2</v>
      </c>
      <c r="H50" s="51">
        <f t="shared" si="4"/>
        <v>-2.7990098258046409E-2</v>
      </c>
      <c r="K50" s="273">
        <f t="shared" si="5"/>
        <v>3.1570000000000001E-2</v>
      </c>
      <c r="L50">
        <v>3.157</v>
      </c>
      <c r="N50" s="51"/>
    </row>
    <row r="51" spans="1:14" x14ac:dyDescent="0.35">
      <c r="A51" s="271">
        <v>43800</v>
      </c>
      <c r="B51" s="272">
        <v>86059</v>
      </c>
      <c r="C51" s="273">
        <f t="shared" si="0"/>
        <v>-3.2958018698309943E-2</v>
      </c>
      <c r="D51">
        <v>960.99</v>
      </c>
      <c r="E51" s="84">
        <f t="shared" si="1"/>
        <v>-1.0054081895441658E-2</v>
      </c>
      <c r="F51" s="84">
        <f t="shared" si="2"/>
        <v>2.8150000000000002E-3</v>
      </c>
      <c r="G51" s="275">
        <f t="shared" si="3"/>
        <v>-3.5773018698309941E-2</v>
      </c>
      <c r="H51" s="51">
        <f t="shared" si="4"/>
        <v>-1.2869081895441658E-2</v>
      </c>
      <c r="K51" s="273">
        <f t="shared" si="5"/>
        <v>3.3780000000000004E-2</v>
      </c>
      <c r="L51">
        <v>3.3780000000000001</v>
      </c>
      <c r="N51" s="51"/>
    </row>
    <row r="52" spans="1:14" x14ac:dyDescent="0.35">
      <c r="A52" s="271">
        <v>43770</v>
      </c>
      <c r="B52" s="272">
        <v>88992</v>
      </c>
      <c r="C52" s="273">
        <f t="shared" si="0"/>
        <v>-6.5386796614085529E-2</v>
      </c>
      <c r="D52">
        <v>970.75</v>
      </c>
      <c r="E52" s="84">
        <f t="shared" si="1"/>
        <v>-2.8103161730842485E-2</v>
      </c>
      <c r="F52" s="84">
        <f t="shared" si="2"/>
        <v>2.9733333333333335E-3</v>
      </c>
      <c r="G52" s="275">
        <f t="shared" si="3"/>
        <v>-6.8360129947418857E-2</v>
      </c>
      <c r="H52" s="51">
        <f t="shared" si="4"/>
        <v>-3.107649506417582E-2</v>
      </c>
      <c r="K52" s="273">
        <f t="shared" si="5"/>
        <v>3.5680000000000003E-2</v>
      </c>
      <c r="L52">
        <v>3.5680000000000001</v>
      </c>
      <c r="N52" s="51"/>
    </row>
    <row r="53" spans="1:14" x14ac:dyDescent="0.35">
      <c r="A53" s="271">
        <v>43739</v>
      </c>
      <c r="B53" s="272">
        <v>95218</v>
      </c>
      <c r="C53" s="273">
        <f t="shared" si="0"/>
        <v>2.3158382281731615E-3</v>
      </c>
      <c r="D53">
        <v>998.82</v>
      </c>
      <c r="E53" s="84">
        <f t="shared" si="1"/>
        <v>2.2678012362529198E-3</v>
      </c>
      <c r="F53" s="84">
        <f t="shared" si="2"/>
        <v>3.0408333333333333E-3</v>
      </c>
      <c r="G53" s="275">
        <f t="shared" si="3"/>
        <v>-7.2499510516017178E-4</v>
      </c>
      <c r="H53" s="51">
        <f t="shared" si="4"/>
        <v>-7.7303209708041347E-4</v>
      </c>
      <c r="K53" s="273">
        <f t="shared" si="5"/>
        <v>3.6490000000000002E-2</v>
      </c>
      <c r="L53">
        <v>3.649</v>
      </c>
      <c r="N53" s="51"/>
    </row>
    <row r="54" spans="1:14" x14ac:dyDescent="0.35">
      <c r="A54" s="271">
        <v>43709</v>
      </c>
      <c r="B54" s="272">
        <v>94998</v>
      </c>
      <c r="C54" s="273">
        <f t="shared" si="0"/>
        <v>7.203069457766742E-2</v>
      </c>
      <c r="D54">
        <v>996.56</v>
      </c>
      <c r="E54" s="84">
        <f t="shared" si="1"/>
        <v>1.2702477491209896E-2</v>
      </c>
      <c r="F54" s="84">
        <f t="shared" si="2"/>
        <v>3.3808333333333333E-3</v>
      </c>
      <c r="G54" s="275">
        <f t="shared" si="3"/>
        <v>6.8649861244334087E-2</v>
      </c>
      <c r="H54" s="51">
        <f t="shared" si="4"/>
        <v>9.321644157876563E-3</v>
      </c>
      <c r="K54" s="273">
        <f t="shared" si="5"/>
        <v>4.0570000000000002E-2</v>
      </c>
      <c r="L54">
        <v>4.0570000000000004</v>
      </c>
      <c r="N54" s="51"/>
    </row>
    <row r="55" spans="1:14" x14ac:dyDescent="0.35">
      <c r="A55" s="271">
        <v>43678</v>
      </c>
      <c r="B55" s="272">
        <v>88615</v>
      </c>
      <c r="C55" s="273">
        <f t="shared" si="0"/>
        <v>-1.6223706891695944E-3</v>
      </c>
      <c r="D55">
        <v>984.06</v>
      </c>
      <c r="E55" s="84">
        <f t="shared" si="1"/>
        <v>-7.6639170683500124E-3</v>
      </c>
      <c r="F55" s="84">
        <f t="shared" si="2"/>
        <v>3.4683333333333333E-3</v>
      </c>
      <c r="G55" s="275">
        <f t="shared" si="3"/>
        <v>-5.0907040225029281E-3</v>
      </c>
      <c r="H55" s="51">
        <f t="shared" si="4"/>
        <v>-1.1132250401683346E-2</v>
      </c>
      <c r="K55" s="273">
        <f t="shared" si="5"/>
        <v>4.1619999999999997E-2</v>
      </c>
      <c r="L55">
        <v>4.1619999999999999</v>
      </c>
      <c r="N55" s="51"/>
    </row>
    <row r="56" spans="1:14" x14ac:dyDescent="0.35">
      <c r="A56" s="271">
        <v>43647</v>
      </c>
      <c r="B56" s="272">
        <v>88759</v>
      </c>
      <c r="C56" s="273">
        <f t="shared" si="0"/>
        <v>1.6250070529819638E-3</v>
      </c>
      <c r="D56">
        <v>991.66</v>
      </c>
      <c r="E56" s="84">
        <f t="shared" si="1"/>
        <v>4.3918563277680622E-2</v>
      </c>
      <c r="F56" s="84">
        <f t="shared" si="2"/>
        <v>3.6699999999999997E-3</v>
      </c>
      <c r="G56" s="275">
        <f t="shared" si="3"/>
        <v>-2.0449929470180359E-3</v>
      </c>
      <c r="H56" s="51">
        <f t="shared" si="4"/>
        <v>4.0248563277680623E-2</v>
      </c>
      <c r="K56" s="273">
        <f t="shared" si="5"/>
        <v>4.4039999999999996E-2</v>
      </c>
      <c r="L56">
        <v>4.4039999999999999</v>
      </c>
      <c r="N56" s="51"/>
    </row>
    <row r="57" spans="1:14" x14ac:dyDescent="0.35">
      <c r="A57" s="271">
        <v>43617</v>
      </c>
      <c r="B57" s="272">
        <v>88615</v>
      </c>
      <c r="C57" s="273">
        <f t="shared" si="0"/>
        <v>-3.8987094675197898E-2</v>
      </c>
      <c r="D57">
        <v>949.94</v>
      </c>
      <c r="E57" s="84">
        <f t="shared" si="1"/>
        <v>-1.0355461099303964E-2</v>
      </c>
      <c r="F57" s="84">
        <f t="shared" si="2"/>
        <v>3.878333333333333E-3</v>
      </c>
      <c r="G57" s="275">
        <f t="shared" si="3"/>
        <v>-4.2865428008531228E-2</v>
      </c>
      <c r="H57" s="51">
        <f t="shared" si="4"/>
        <v>-1.4233794432637297E-2</v>
      </c>
      <c r="K57" s="273">
        <f t="shared" si="5"/>
        <v>4.6539999999999998E-2</v>
      </c>
      <c r="L57">
        <v>4.6539999999999999</v>
      </c>
      <c r="N57" s="51"/>
    </row>
    <row r="58" spans="1:14" x14ac:dyDescent="0.35">
      <c r="A58" s="271">
        <v>43586</v>
      </c>
      <c r="B58" s="272">
        <v>92210</v>
      </c>
      <c r="C58" s="273">
        <f t="shared" si="0"/>
        <v>-2.3154159092876325E-3</v>
      </c>
      <c r="D58">
        <v>959.88</v>
      </c>
      <c r="E58" s="84">
        <f t="shared" si="1"/>
        <v>-2.0170674941815347E-2</v>
      </c>
      <c r="F58" s="84">
        <f t="shared" si="2"/>
        <v>3.9175E-3</v>
      </c>
      <c r="G58" s="275">
        <f t="shared" si="3"/>
        <v>-6.2329159092876325E-3</v>
      </c>
      <c r="H58" s="51">
        <f t="shared" si="4"/>
        <v>-2.4088174941815348E-2</v>
      </c>
      <c r="K58" s="273">
        <f t="shared" si="5"/>
        <v>4.7009999999999996E-2</v>
      </c>
      <c r="L58">
        <v>4.7009999999999996</v>
      </c>
      <c r="N58" s="51"/>
    </row>
    <row r="59" spans="1:14" x14ac:dyDescent="0.35">
      <c r="A59" s="271">
        <v>43556</v>
      </c>
      <c r="B59" s="272">
        <v>92424</v>
      </c>
      <c r="C59" s="273">
        <f t="shared" si="0"/>
        <v>-3.7089514919153244E-2</v>
      </c>
      <c r="D59">
        <v>979.64</v>
      </c>
      <c r="E59" s="84">
        <f t="shared" si="1"/>
        <v>-1.1419715322811275E-3</v>
      </c>
      <c r="F59" s="84">
        <f t="shared" si="2"/>
        <v>3.9700000000000004E-3</v>
      </c>
      <c r="G59" s="275">
        <f t="shared" si="3"/>
        <v>-4.1059514919153245E-2</v>
      </c>
      <c r="H59" s="51">
        <f t="shared" si="4"/>
        <v>-5.1119715322811279E-3</v>
      </c>
      <c r="K59" s="273">
        <f t="shared" si="5"/>
        <v>4.7640000000000002E-2</v>
      </c>
      <c r="L59">
        <v>4.7640000000000002</v>
      </c>
      <c r="N59" s="51"/>
    </row>
    <row r="60" spans="1:14" x14ac:dyDescent="0.35">
      <c r="A60" s="271">
        <v>43525</v>
      </c>
      <c r="B60" s="272">
        <v>95984</v>
      </c>
      <c r="C60" s="273">
        <f t="shared" si="0"/>
        <v>-4.4650144321688012E-2</v>
      </c>
      <c r="D60">
        <v>980.76</v>
      </c>
      <c r="E60" s="84">
        <f t="shared" si="1"/>
        <v>1.5836846302836882E-2</v>
      </c>
      <c r="F60" s="84">
        <f t="shared" si="2"/>
        <v>4.0233333333333336E-3</v>
      </c>
      <c r="G60" s="275">
        <f t="shared" si="3"/>
        <v>-4.8673477655021349E-2</v>
      </c>
      <c r="H60" s="51">
        <f t="shared" si="4"/>
        <v>1.1813512969503549E-2</v>
      </c>
      <c r="K60" s="273">
        <f t="shared" si="5"/>
        <v>4.8280000000000003E-2</v>
      </c>
      <c r="L60">
        <v>4.8280000000000003</v>
      </c>
      <c r="N60" s="51"/>
    </row>
    <row r="61" spans="1:14" x14ac:dyDescent="0.35">
      <c r="A61" s="271">
        <v>43497</v>
      </c>
      <c r="B61" s="272">
        <v>100470</v>
      </c>
      <c r="C61" s="273">
        <f t="shared" si="0"/>
        <v>4.5190687223019887E-2</v>
      </c>
      <c r="D61">
        <v>965.47</v>
      </c>
      <c r="E61" s="84">
        <f t="shared" si="1"/>
        <v>6.0198759128095469E-2</v>
      </c>
      <c r="F61" s="84">
        <f t="shared" si="2"/>
        <v>3.9624999999999999E-3</v>
      </c>
      <c r="G61" s="275">
        <f t="shared" si="3"/>
        <v>4.1228187223019887E-2</v>
      </c>
      <c r="H61" s="51">
        <f t="shared" si="4"/>
        <v>5.6236259128095469E-2</v>
      </c>
      <c r="K61" s="273">
        <f t="shared" si="5"/>
        <v>4.7550000000000002E-2</v>
      </c>
      <c r="L61">
        <v>4.7549999999999999</v>
      </c>
      <c r="N61" s="51"/>
    </row>
    <row r="62" spans="1:14" x14ac:dyDescent="0.35">
      <c r="A62" s="271">
        <v>43466</v>
      </c>
      <c r="B62" s="272">
        <v>96126</v>
      </c>
      <c r="C62" s="273">
        <f t="shared" si="0"/>
        <v>0.12500438878810938</v>
      </c>
      <c r="D62">
        <v>910.65</v>
      </c>
      <c r="E62" s="84">
        <f t="shared" si="1"/>
        <v>2.0290407152620649E-2</v>
      </c>
      <c r="F62" s="84">
        <f t="shared" si="2"/>
        <v>4.0674999999999999E-3</v>
      </c>
      <c r="G62" s="275">
        <f t="shared" si="3"/>
        <v>0.12093688878810938</v>
      </c>
      <c r="H62" s="51">
        <f t="shared" si="4"/>
        <v>1.6222907152620647E-2</v>
      </c>
      <c r="K62" s="273">
        <f t="shared" si="5"/>
        <v>4.8809999999999999E-2</v>
      </c>
      <c r="L62">
        <v>4.8810000000000002</v>
      </c>
      <c r="N62" s="51"/>
    </row>
    <row r="63" spans="1:14" x14ac:dyDescent="0.35">
      <c r="A63" s="271">
        <v>43435</v>
      </c>
      <c r="B63" s="272">
        <v>85445</v>
      </c>
      <c r="C63" s="273">
        <f>B63/B64-1</f>
        <v>-5.488513057617217E-2</v>
      </c>
      <c r="D63">
        <v>892.54</v>
      </c>
      <c r="E63" s="84">
        <f>N63</f>
        <v>0</v>
      </c>
      <c r="F63" s="84">
        <f t="shared" si="2"/>
        <v>4.3050000000000007E-3</v>
      </c>
      <c r="G63" s="275">
        <f t="shared" si="3"/>
        <v>-5.9190130576172173E-2</v>
      </c>
      <c r="H63" s="51">
        <f t="shared" si="4"/>
        <v>-4.3050000000000007E-3</v>
      </c>
      <c r="K63" s="273">
        <f t="shared" si="5"/>
        <v>5.1660000000000005E-2</v>
      </c>
      <c r="L63">
        <v>5.1660000000000004</v>
      </c>
      <c r="N63" s="51"/>
    </row>
    <row r="64" spans="1:14" x14ac:dyDescent="0.35">
      <c r="A64" s="271">
        <v>43405</v>
      </c>
      <c r="B64" s="272">
        <v>90407</v>
      </c>
      <c r="C64" s="273"/>
      <c r="G64" s="275"/>
      <c r="H64" s="51"/>
    </row>
    <row r="68" spans="5:7" x14ac:dyDescent="0.35">
      <c r="E68" t="s">
        <v>819</v>
      </c>
      <c r="F68" t="s">
        <v>820</v>
      </c>
      <c r="G68" t="s">
        <v>819</v>
      </c>
    </row>
    <row r="69" spans="5:7" x14ac:dyDescent="0.35">
      <c r="E69" s="84">
        <v>2.1662205736894095E-2</v>
      </c>
      <c r="F69" s="84">
        <v>2.5625708736621681E-2</v>
      </c>
      <c r="G69" s="84">
        <v>2.1662205736894095E-2</v>
      </c>
    </row>
    <row r="70" spans="5:7" x14ac:dyDescent="0.35">
      <c r="E70" s="84">
        <v>-1.0895196078431341E-2</v>
      </c>
      <c r="F70" s="84">
        <v>6.2060448992890455E-2</v>
      </c>
      <c r="G70" s="84">
        <v>-1.0895196078431341E-2</v>
      </c>
    </row>
    <row r="71" spans="5:7" x14ac:dyDescent="0.35">
      <c r="E71" s="84">
        <v>-8.6113784815813138E-2</v>
      </c>
      <c r="F71" s="84">
        <v>-0.11169242736357202</v>
      </c>
      <c r="G71" s="84">
        <v>-8.6113784815813138E-2</v>
      </c>
    </row>
    <row r="72" spans="5:7" x14ac:dyDescent="0.35">
      <c r="E72" s="84">
        <v>-4.8637493573264794E-2</v>
      </c>
      <c r="F72" s="84">
        <v>-5.9470510395817015E-2</v>
      </c>
      <c r="G72" s="84">
        <v>-4.8637493573264794E-2</v>
      </c>
    </row>
    <row r="73" spans="5:7" x14ac:dyDescent="0.35">
      <c r="E73" s="84">
        <v>-4.8282692307692211E-3</v>
      </c>
      <c r="F73" s="84">
        <v>-1.3237790634285534E-3</v>
      </c>
      <c r="G73" s="84">
        <v>-4.8282692307692211E-3</v>
      </c>
    </row>
    <row r="74" spans="5:7" x14ac:dyDescent="0.35">
      <c r="E74" s="84">
        <v>9.6457382629108065E-2</v>
      </c>
      <c r="F74" s="84">
        <v>8.9565381620215864E-2</v>
      </c>
      <c r="G74" s="84">
        <v>9.6457382629108065E-2</v>
      </c>
    </row>
    <row r="75" spans="5:7" x14ac:dyDescent="0.35">
      <c r="E75" s="84">
        <v>7.1840939233484682E-2</v>
      </c>
      <c r="F75" s="84">
        <v>3.9573980556563144E-2</v>
      </c>
      <c r="G75" s="84">
        <v>7.1840939233484682E-2</v>
      </c>
    </row>
    <row r="76" spans="5:7" x14ac:dyDescent="0.35">
      <c r="E76" s="84">
        <v>-5.8439285714285714E-2</v>
      </c>
      <c r="F76" s="84">
        <v>2.2105333994204869E-2</v>
      </c>
      <c r="G76" s="84">
        <v>-5.8439285714285714E-2</v>
      </c>
    </row>
    <row r="77" spans="5:7" x14ac:dyDescent="0.35">
      <c r="E77" s="84">
        <v>-6.1942284946236506E-2</v>
      </c>
      <c r="F77" s="84">
        <v>-1.7380197625488661E-2</v>
      </c>
      <c r="G77" s="84">
        <v>-6.1942284946236506E-2</v>
      </c>
    </row>
    <row r="78" spans="5:7" x14ac:dyDescent="0.35">
      <c r="E78" s="84">
        <v>-1.7460369757174399E-2</v>
      </c>
      <c r="F78" s="84">
        <v>3.6106707362298436E-2</v>
      </c>
      <c r="G78" s="84">
        <v>-1.7460369757174399E-2</v>
      </c>
    </row>
    <row r="79" spans="5:7" x14ac:dyDescent="0.35">
      <c r="E79" s="84">
        <v>-2.4528936446173839E-2</v>
      </c>
      <c r="F79" s="84">
        <v>-8.1621840265903481E-2</v>
      </c>
      <c r="G79" s="84">
        <v>-2.4528936446173839E-2</v>
      </c>
    </row>
    <row r="80" spans="5:7" x14ac:dyDescent="0.35">
      <c r="E80" s="84">
        <v>9.2747711344721828E-3</v>
      </c>
      <c r="F80" s="84">
        <v>9.9491364136604768E-2</v>
      </c>
      <c r="G80" s="84">
        <v>9.2747711344721828E-3</v>
      </c>
    </row>
    <row r="81" spans="5:7" x14ac:dyDescent="0.35">
      <c r="E81" s="84">
        <v>-6.8687456482187242E-2</v>
      </c>
      <c r="F81" s="84">
        <v>-4.3618724318498371E-2</v>
      </c>
      <c r="G81" s="84">
        <v>-6.8687456482187242E-2</v>
      </c>
    </row>
    <row r="82" spans="5:7" x14ac:dyDescent="0.35">
      <c r="E82" s="84">
        <v>5.0480707330039724E-2</v>
      </c>
      <c r="F82" s="84">
        <v>1.5620008495956343E-2</v>
      </c>
      <c r="G82" s="84">
        <v>5.0480707330039724E-2</v>
      </c>
    </row>
    <row r="83" spans="5:7" x14ac:dyDescent="0.35">
      <c r="E83" s="84">
        <v>8.1424165610774743E-2</v>
      </c>
      <c r="F83" s="84">
        <v>-9.6342360238845973E-2</v>
      </c>
      <c r="G83" s="84">
        <v>8.1424165610774743E-2</v>
      </c>
    </row>
    <row r="84" spans="5:7" x14ac:dyDescent="0.35">
      <c r="E84" s="84">
        <v>-4.6566820179577736E-2</v>
      </c>
      <c r="F84" s="84">
        <v>-0.12007132455037454</v>
      </c>
      <c r="G84" s="84">
        <v>-4.6566820179577736E-2</v>
      </c>
    </row>
    <row r="85" spans="5:7" x14ac:dyDescent="0.35">
      <c r="E85" s="84">
        <v>3.402650036352961E-2</v>
      </c>
      <c r="F85" s="84">
        <v>5.8424794811535952E-2</v>
      </c>
      <c r="G85" s="84">
        <v>3.402650036352961E-2</v>
      </c>
    </row>
    <row r="86" spans="5:7" x14ac:dyDescent="0.35">
      <c r="E86" s="84">
        <v>3.9964014796883232E-2</v>
      </c>
      <c r="F86" s="84">
        <v>4.262912491650072E-3</v>
      </c>
      <c r="G86" s="84">
        <v>3.9964014796883232E-2</v>
      </c>
    </row>
    <row r="87" spans="5:7" x14ac:dyDescent="0.35">
      <c r="E87" s="84">
        <v>4.1685748969621638E-3</v>
      </c>
      <c r="F87" s="84">
        <v>-7.6359286031088033E-2</v>
      </c>
      <c r="G87" s="84">
        <v>4.1685748969621638E-3</v>
      </c>
    </row>
    <row r="88" spans="5:7" x14ac:dyDescent="0.35">
      <c r="E88" s="84">
        <v>-3.640834997091083E-2</v>
      </c>
      <c r="F88" s="84">
        <v>-5.6936355721392912E-2</v>
      </c>
      <c r="G88" s="84">
        <v>-3.640834997091083E-2</v>
      </c>
    </row>
    <row r="89" spans="5:7" x14ac:dyDescent="0.35">
      <c r="E89" s="84">
        <v>-8.5398577359571057E-2</v>
      </c>
      <c r="F89" s="84">
        <v>-8.6592132968088584E-2</v>
      </c>
      <c r="G89" s="84">
        <v>-8.5398577359571057E-2</v>
      </c>
    </row>
    <row r="90" spans="5:7" x14ac:dyDescent="0.35">
      <c r="E90" s="84">
        <v>2.9816200455713527E-2</v>
      </c>
      <c r="F90" s="84">
        <v>-7.1024690798794339E-4</v>
      </c>
      <c r="G90" s="84">
        <v>2.9816200455713527E-2</v>
      </c>
    </row>
    <row r="91" spans="5:7" x14ac:dyDescent="0.35">
      <c r="E91" s="84">
        <v>-5.8509308719560053E-2</v>
      </c>
      <c r="F91" s="84">
        <v>5.6026045329150643E-3</v>
      </c>
      <c r="G91" s="84">
        <v>-5.8509308719560053E-2</v>
      </c>
    </row>
    <row r="92" spans="5:7" x14ac:dyDescent="0.35">
      <c r="E92" s="84">
        <v>-2.3930560263653436E-2</v>
      </c>
      <c r="F92" s="84">
        <v>-1.4697286021304339E-2</v>
      </c>
      <c r="G92" s="84">
        <v>-2.3930560263653436E-2</v>
      </c>
    </row>
    <row r="93" spans="5:7" x14ac:dyDescent="0.35">
      <c r="E93" s="84">
        <v>-1.5448630136986356E-2</v>
      </c>
      <c r="F93" s="84">
        <v>1.1669550336841502E-2</v>
      </c>
      <c r="G93" s="84">
        <v>-1.5448630136986356E-2</v>
      </c>
    </row>
    <row r="94" spans="5:7" x14ac:dyDescent="0.35">
      <c r="E94" s="84">
        <v>-3.5914560717109814E-2</v>
      </c>
      <c r="F94" s="84">
        <v>2.1924011126728524E-2</v>
      </c>
      <c r="G94" s="84">
        <v>-3.5914560717109814E-2</v>
      </c>
    </row>
    <row r="95" spans="5:7" x14ac:dyDescent="0.35">
      <c r="E95" s="84">
        <v>1.0518479309287404E-2</v>
      </c>
      <c r="F95" s="84">
        <v>7.4395705755828212E-2</v>
      </c>
      <c r="G95" s="84">
        <v>1.0518479309287404E-2</v>
      </c>
    </row>
    <row r="96" spans="5:7" x14ac:dyDescent="0.35">
      <c r="E96" s="84">
        <v>4.1109489403057566E-2</v>
      </c>
      <c r="F96" s="84">
        <v>6.1769485105434936E-3</v>
      </c>
      <c r="G96" s="84">
        <v>4.1109489403057566E-2</v>
      </c>
    </row>
    <row r="97" spans="5:7" x14ac:dyDescent="0.35">
      <c r="E97" s="84">
        <v>1.3355665433504084E-2</v>
      </c>
      <c r="F97" s="84">
        <v>1.4604687639148796E-2</v>
      </c>
      <c r="G97" s="84">
        <v>1.3355665433504084E-2</v>
      </c>
    </row>
    <row r="98" spans="5:7" x14ac:dyDescent="0.35">
      <c r="E98" s="84">
        <v>-4.9364456015451155E-2</v>
      </c>
      <c r="F98" s="84">
        <v>-7.172423659673656E-2</v>
      </c>
      <c r="G98" s="84">
        <v>-4.9364456015451155E-2</v>
      </c>
    </row>
    <row r="99" spans="5:7" x14ac:dyDescent="0.35">
      <c r="E99" s="84">
        <v>-2.9066669674908778E-3</v>
      </c>
      <c r="F99" s="84">
        <v>5.8803521014520008E-2</v>
      </c>
      <c r="G99" s="84">
        <v>-2.9066669674908778E-3</v>
      </c>
    </row>
    <row r="100" spans="5:7" x14ac:dyDescent="0.35">
      <c r="E100" s="84">
        <v>-3.3981285231772601E-2</v>
      </c>
      <c r="F100" s="84">
        <v>6.9641024031983439E-2</v>
      </c>
      <c r="G100" s="84">
        <v>-3.3981285231772601E-2</v>
      </c>
    </row>
    <row r="101" spans="5:7" x14ac:dyDescent="0.35">
      <c r="E101" s="84">
        <v>-5.1728296812748958E-2</v>
      </c>
      <c r="F101" s="84">
        <v>3.8317917310145638E-2</v>
      </c>
      <c r="G101" s="84">
        <v>-5.1728296812748958E-2</v>
      </c>
    </row>
    <row r="102" spans="5:7" x14ac:dyDescent="0.35">
      <c r="E102" s="84">
        <v>-6.3056321736961921E-2</v>
      </c>
      <c r="F102" s="84">
        <v>1.7669852157094303E-2</v>
      </c>
      <c r="G102" s="84">
        <v>-6.3056321736961921E-2</v>
      </c>
    </row>
    <row r="103" spans="5:7" x14ac:dyDescent="0.35">
      <c r="E103" s="84">
        <v>1.7497245762711923E-2</v>
      </c>
      <c r="F103" s="84">
        <v>0.10390437614162282</v>
      </c>
      <c r="G103" s="84">
        <v>1.7497245762711923E-2</v>
      </c>
    </row>
    <row r="104" spans="5:7" x14ac:dyDescent="0.35">
      <c r="E104" s="84">
        <v>-4.8346118226999045E-2</v>
      </c>
      <c r="F104" s="84">
        <v>-4.4733012401822668E-2</v>
      </c>
      <c r="G104" s="84">
        <v>-4.8346118226999045E-2</v>
      </c>
    </row>
    <row r="105" spans="5:7" x14ac:dyDescent="0.35">
      <c r="E105" s="84">
        <v>3.50346241747074E-3</v>
      </c>
      <c r="F105" s="84">
        <v>9.843801999840468E-2</v>
      </c>
      <c r="G105" s="84">
        <v>3.50346241747074E-3</v>
      </c>
    </row>
    <row r="106" spans="5:7" x14ac:dyDescent="0.35">
      <c r="E106" s="84">
        <v>-1.654220091993285E-4</v>
      </c>
      <c r="F106" s="84">
        <v>8.1842592709650219E-2</v>
      </c>
      <c r="G106" s="84">
        <v>-1.654220091993285E-4</v>
      </c>
    </row>
    <row r="107" spans="5:7" x14ac:dyDescent="0.35">
      <c r="E107" s="84">
        <v>-1.0410463683429729E-2</v>
      </c>
      <c r="F107" s="84">
        <v>2.0236546823388997E-2</v>
      </c>
      <c r="G107" s="84">
        <v>-1.0410463683429729E-2</v>
      </c>
    </row>
    <row r="108" spans="5:7" x14ac:dyDescent="0.35">
      <c r="E108" s="84">
        <v>9.1921066264705406E-2</v>
      </c>
      <c r="F108" s="84">
        <v>2.4436789022476799E-2</v>
      </c>
      <c r="G108" s="84">
        <v>9.1921066264705406E-2</v>
      </c>
    </row>
    <row r="109" spans="5:7" x14ac:dyDescent="0.35">
      <c r="E109" s="84">
        <v>0.12845325709516556</v>
      </c>
      <c r="F109" s="84">
        <v>0.10189070664086478</v>
      </c>
      <c r="G109" s="84">
        <v>0.12845325709516556</v>
      </c>
    </row>
    <row r="110" spans="5:7" x14ac:dyDescent="0.35">
      <c r="E110" s="84">
        <v>-5.3050249612697234E-2</v>
      </c>
      <c r="F110" s="84">
        <v>-3.4855227646414813E-2</v>
      </c>
      <c r="G110" s="84">
        <v>-5.3050249612697234E-2</v>
      </c>
    </row>
    <row r="111" spans="5:7" x14ac:dyDescent="0.35">
      <c r="E111" s="84">
        <v>-9.672795523301676E-3</v>
      </c>
      <c r="F111" s="84">
        <v>-4.805828765023655E-2</v>
      </c>
      <c r="G111" s="84">
        <v>-9.672795523301676E-3</v>
      </c>
    </row>
    <row r="112" spans="5:7" x14ac:dyDescent="0.35">
      <c r="E112" s="84">
        <v>0.1589902132217543</v>
      </c>
      <c r="F112" s="84">
        <v>0.12136579936550049</v>
      </c>
      <c r="G112" s="84">
        <v>0.1589902132217543</v>
      </c>
    </row>
    <row r="113" spans="5:7" x14ac:dyDescent="0.35">
      <c r="E113" s="84">
        <v>8.5375979342080521E-2</v>
      </c>
      <c r="F113" s="84">
        <v>0.15832652043429496</v>
      </c>
      <c r="G113" s="84">
        <v>8.5375979342080521E-2</v>
      </c>
    </row>
    <row r="114" spans="5:7" x14ac:dyDescent="0.35">
      <c r="E114" s="84">
        <v>-0.13212313853444735</v>
      </c>
      <c r="F114" s="84">
        <v>-0.25192481422180413</v>
      </c>
      <c r="G114" s="84">
        <v>-0.13212313853444735</v>
      </c>
    </row>
    <row r="115" spans="5:7" x14ac:dyDescent="0.35">
      <c r="E115" s="84">
        <v>-3.9248371802869615E-2</v>
      </c>
      <c r="F115" s="84">
        <v>-6.0493215605047897E-2</v>
      </c>
      <c r="G115" s="84">
        <v>-3.9248371802869615E-2</v>
      </c>
    </row>
    <row r="116" spans="5:7" x14ac:dyDescent="0.35">
      <c r="E116" s="84">
        <v>-7.1293030198274793E-2</v>
      </c>
      <c r="F116" s="84">
        <v>-2.7990098258046409E-2</v>
      </c>
      <c r="G116" s="84">
        <v>-7.1293030198274793E-2</v>
      </c>
    </row>
    <row r="117" spans="5:7" x14ac:dyDescent="0.35">
      <c r="E117" s="84">
        <v>-3.5773018698309941E-2</v>
      </c>
      <c r="F117" s="84">
        <v>-1.2869081895441658E-2</v>
      </c>
      <c r="G117" s="84">
        <v>-3.5773018698309941E-2</v>
      </c>
    </row>
    <row r="118" spans="5:7" x14ac:dyDescent="0.35">
      <c r="E118" s="84">
        <v>-6.8360129947418857E-2</v>
      </c>
      <c r="F118" s="84">
        <v>-3.107649506417582E-2</v>
      </c>
      <c r="G118" s="84">
        <v>-6.8360129947418857E-2</v>
      </c>
    </row>
    <row r="119" spans="5:7" x14ac:dyDescent="0.35">
      <c r="E119" s="84">
        <v>-7.2499510516017178E-4</v>
      </c>
      <c r="F119" s="84">
        <v>-7.7303209708041347E-4</v>
      </c>
      <c r="G119" s="84">
        <v>-7.2499510516017178E-4</v>
      </c>
    </row>
    <row r="120" spans="5:7" x14ac:dyDescent="0.35">
      <c r="E120" s="84">
        <v>6.8649861244334087E-2</v>
      </c>
      <c r="F120" s="84">
        <v>9.321644157876563E-3</v>
      </c>
      <c r="G120" s="84">
        <v>6.8649861244334087E-2</v>
      </c>
    </row>
    <row r="121" spans="5:7" x14ac:dyDescent="0.35">
      <c r="E121" s="84">
        <v>-5.0907040225029281E-3</v>
      </c>
      <c r="F121" s="84">
        <v>-1.1132250401683346E-2</v>
      </c>
      <c r="G121" s="84">
        <v>-5.0907040225029281E-3</v>
      </c>
    </row>
    <row r="122" spans="5:7" x14ac:dyDescent="0.35">
      <c r="E122" s="84">
        <v>-2.0449929470180359E-3</v>
      </c>
      <c r="F122" s="84">
        <v>4.0248563277680623E-2</v>
      </c>
      <c r="G122" s="84">
        <v>-2.0449929470180359E-3</v>
      </c>
    </row>
    <row r="123" spans="5:7" x14ac:dyDescent="0.35">
      <c r="E123" s="84">
        <v>-4.2865428008531228E-2</v>
      </c>
      <c r="F123" s="84">
        <v>-1.4233794432637297E-2</v>
      </c>
      <c r="G123" s="84">
        <v>-4.2865428008531228E-2</v>
      </c>
    </row>
    <row r="124" spans="5:7" x14ac:dyDescent="0.35">
      <c r="E124" s="84">
        <v>-6.2329159092876325E-3</v>
      </c>
      <c r="F124" s="84">
        <v>-2.4088174941815348E-2</v>
      </c>
      <c r="G124" s="84">
        <v>-6.2329159092876325E-3</v>
      </c>
    </row>
    <row r="125" spans="5:7" x14ac:dyDescent="0.35">
      <c r="E125" s="84">
        <v>-4.1059514919153245E-2</v>
      </c>
      <c r="F125" s="84">
        <v>-5.1119715322811279E-3</v>
      </c>
      <c r="G125" s="84">
        <v>-4.1059514919153245E-2</v>
      </c>
    </row>
    <row r="126" spans="5:7" x14ac:dyDescent="0.35">
      <c r="E126" s="84">
        <v>-4.8673477655021349E-2</v>
      </c>
      <c r="F126" s="84">
        <v>1.1813512969503549E-2</v>
      </c>
      <c r="G126" s="84">
        <v>-4.8673477655021349E-2</v>
      </c>
    </row>
    <row r="127" spans="5:7" x14ac:dyDescent="0.35">
      <c r="E127" s="84">
        <v>4.1228187223019887E-2</v>
      </c>
      <c r="F127" s="84">
        <v>5.6236259128095469E-2</v>
      </c>
      <c r="G127" s="84">
        <v>4.1228187223019887E-2</v>
      </c>
    </row>
    <row r="128" spans="5:7" x14ac:dyDescent="0.35">
      <c r="E128" s="84">
        <v>0.12093688878810938</v>
      </c>
      <c r="F128" s="84">
        <v>1.6222907152620647E-2</v>
      </c>
      <c r="G128" s="84">
        <v>0.12093688878810938</v>
      </c>
    </row>
    <row r="129" spans="5:7" x14ac:dyDescent="0.35">
      <c r="E129" s="84">
        <v>-5.9190130576172173E-2</v>
      </c>
      <c r="F129" s="84">
        <v>-4.3050000000000007E-3</v>
      </c>
      <c r="G129" s="84">
        <v>-5.9190130576172173E-2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3DC2-2DD1-4832-8F1F-5EFB3EDF8C82}">
  <dimension ref="A1:L24"/>
  <sheetViews>
    <sheetView workbookViewId="0">
      <selection activeCell="K11" sqref="K11"/>
    </sheetView>
  </sheetViews>
  <sheetFormatPr defaultRowHeight="14.5" x14ac:dyDescent="0.35"/>
  <cols>
    <col min="8" max="8" width="22.1796875" bestFit="1" customWidth="1"/>
  </cols>
  <sheetData>
    <row r="1" spans="1:12" x14ac:dyDescent="0.35">
      <c r="A1" s="99" t="s">
        <v>832</v>
      </c>
    </row>
    <row r="3" spans="1:12" x14ac:dyDescent="0.35">
      <c r="A3" s="100" t="s">
        <v>207</v>
      </c>
    </row>
    <row r="4" spans="1:12" ht="15" thickBot="1" x14ac:dyDescent="0.4">
      <c r="A4" s="100" t="s">
        <v>808</v>
      </c>
    </row>
    <row r="5" spans="1:12" ht="15" thickBot="1" x14ac:dyDescent="0.4">
      <c r="A5" s="475"/>
      <c r="B5" s="476"/>
      <c r="C5" s="102">
        <v>2018</v>
      </c>
      <c r="D5" s="102">
        <v>2019</v>
      </c>
      <c r="E5" s="102">
        <v>2020</v>
      </c>
      <c r="F5" s="102">
        <v>2021</v>
      </c>
      <c r="G5" s="102">
        <v>2022</v>
      </c>
    </row>
    <row r="6" spans="1:12" ht="15" thickBot="1" x14ac:dyDescent="0.4">
      <c r="A6" s="145"/>
      <c r="B6" s="160" t="s">
        <v>209</v>
      </c>
      <c r="C6" s="145" t="s">
        <v>327</v>
      </c>
      <c r="D6" s="145" t="s">
        <v>328</v>
      </c>
      <c r="E6" s="145" t="s">
        <v>210</v>
      </c>
      <c r="F6" s="145" t="s">
        <v>211</v>
      </c>
      <c r="G6" s="145" t="s">
        <v>212</v>
      </c>
      <c r="H6" s="102">
        <v>2018</v>
      </c>
      <c r="I6" s="102">
        <v>2019</v>
      </c>
      <c r="J6" s="102">
        <v>2020</v>
      </c>
      <c r="K6" s="102">
        <v>2021</v>
      </c>
      <c r="L6" s="102">
        <v>2022</v>
      </c>
    </row>
    <row r="7" spans="1:12" ht="15" thickBot="1" x14ac:dyDescent="0.4">
      <c r="A7" s="473" t="s">
        <v>213</v>
      </c>
      <c r="B7" s="474"/>
      <c r="C7" s="161">
        <v>0.85</v>
      </c>
      <c r="D7" s="161">
        <v>0.84</v>
      </c>
      <c r="E7" s="161">
        <v>0.85</v>
      </c>
      <c r="F7" s="161">
        <v>0.84</v>
      </c>
      <c r="G7" s="161">
        <v>0.85</v>
      </c>
      <c r="H7" s="275">
        <f>C7+C13/2</f>
        <v>0.92499999999999993</v>
      </c>
      <c r="I7" s="275">
        <f t="shared" ref="I7:L7" si="0">D7+D13/2</f>
        <v>0.91999999999999993</v>
      </c>
      <c r="J7" s="275">
        <f t="shared" si="0"/>
        <v>0.92499999999999993</v>
      </c>
      <c r="K7" s="275">
        <f t="shared" si="0"/>
        <v>0.91999999999999993</v>
      </c>
      <c r="L7" s="275">
        <f t="shared" si="0"/>
        <v>0.92499999999999993</v>
      </c>
    </row>
    <row r="8" spans="1:12" ht="15" thickBot="1" x14ac:dyDescent="0.4">
      <c r="A8" s="471" t="s">
        <v>216</v>
      </c>
      <c r="B8" s="472"/>
      <c r="C8" s="162">
        <v>44747</v>
      </c>
      <c r="D8" s="162">
        <v>47555</v>
      </c>
      <c r="E8" s="162">
        <v>50842</v>
      </c>
      <c r="F8" s="162">
        <v>51202</v>
      </c>
      <c r="G8" s="162">
        <v>50704</v>
      </c>
      <c r="H8" s="51">
        <f>100%-H7</f>
        <v>7.5000000000000067E-2</v>
      </c>
      <c r="I8" s="51">
        <f t="shared" ref="I8:L8" si="1">100%-I7</f>
        <v>8.0000000000000071E-2</v>
      </c>
      <c r="J8" s="51">
        <f t="shared" si="1"/>
        <v>7.5000000000000067E-2</v>
      </c>
      <c r="K8" s="51">
        <f t="shared" si="1"/>
        <v>8.0000000000000071E-2</v>
      </c>
      <c r="L8" s="51">
        <f t="shared" si="1"/>
        <v>7.5000000000000067E-2</v>
      </c>
    </row>
    <row r="9" spans="1:12" ht="15" thickBot="1" x14ac:dyDescent="0.4">
      <c r="A9" s="471" t="s">
        <v>217</v>
      </c>
      <c r="B9" s="472"/>
      <c r="C9" s="162">
        <v>44747</v>
      </c>
      <c r="D9" s="162">
        <v>47555</v>
      </c>
      <c r="E9" s="162">
        <v>50842</v>
      </c>
      <c r="F9" s="162">
        <v>51202</v>
      </c>
      <c r="G9" s="162">
        <v>50704</v>
      </c>
    </row>
    <row r="10" spans="1:12" ht="15" thickBot="1" x14ac:dyDescent="0.4">
      <c r="A10" s="471" t="s">
        <v>219</v>
      </c>
      <c r="B10" s="472"/>
      <c r="C10" s="162">
        <v>23804</v>
      </c>
      <c r="D10" s="162">
        <v>25121</v>
      </c>
      <c r="E10" s="162">
        <v>27343</v>
      </c>
      <c r="F10" s="162">
        <v>29155</v>
      </c>
      <c r="G10" s="162">
        <v>30149</v>
      </c>
    </row>
    <row r="11" spans="1:12" ht="15" thickBot="1" x14ac:dyDescent="0.4">
      <c r="A11" s="471" t="s">
        <v>221</v>
      </c>
      <c r="B11" s="472"/>
      <c r="C11" s="162">
        <v>20943</v>
      </c>
      <c r="D11" s="162">
        <v>22434</v>
      </c>
      <c r="E11" s="162">
        <v>23499</v>
      </c>
      <c r="F11" s="162">
        <v>22047</v>
      </c>
      <c r="G11" s="162">
        <v>20556</v>
      </c>
    </row>
    <row r="12" spans="1:12" ht="15" thickBot="1" x14ac:dyDescent="0.4">
      <c r="A12" s="471" t="s">
        <v>223</v>
      </c>
      <c r="B12" s="472"/>
      <c r="C12" s="163">
        <v>0.46800000000000003</v>
      </c>
      <c r="D12" s="163">
        <v>0.47170000000000001</v>
      </c>
      <c r="E12" s="163">
        <v>0.4622</v>
      </c>
      <c r="F12" s="163">
        <v>0.43059999999999998</v>
      </c>
      <c r="G12" s="163">
        <v>0.40539999999999998</v>
      </c>
    </row>
    <row r="13" spans="1:12" ht="15" thickBot="1" x14ac:dyDescent="0.4">
      <c r="A13" s="473" t="s">
        <v>225</v>
      </c>
      <c r="B13" s="474"/>
      <c r="C13" s="161">
        <v>0.15</v>
      </c>
      <c r="D13" s="161">
        <v>0.16</v>
      </c>
      <c r="E13" s="161">
        <v>0.15</v>
      </c>
      <c r="F13" s="161">
        <v>0.16</v>
      </c>
      <c r="G13" s="161">
        <v>0.15</v>
      </c>
    </row>
    <row r="14" spans="1:12" ht="15" thickBot="1" x14ac:dyDescent="0.4">
      <c r="A14" s="471" t="s">
        <v>216</v>
      </c>
      <c r="B14" s="472"/>
      <c r="C14" s="162">
        <v>7815</v>
      </c>
      <c r="D14" s="162">
        <v>8764</v>
      </c>
      <c r="E14" s="162">
        <v>8794</v>
      </c>
      <c r="F14" s="162">
        <v>9717</v>
      </c>
      <c r="G14" s="162">
        <v>9252</v>
      </c>
    </row>
    <row r="15" spans="1:12" ht="15" thickBot="1" x14ac:dyDescent="0.4">
      <c r="A15" s="471" t="s">
        <v>217</v>
      </c>
      <c r="B15" s="472"/>
      <c r="C15" s="162">
        <v>7815</v>
      </c>
      <c r="D15" s="162">
        <v>8764</v>
      </c>
      <c r="E15" s="162">
        <v>8794</v>
      </c>
      <c r="F15" s="162">
        <v>9717</v>
      </c>
      <c r="G15" s="162">
        <v>9252</v>
      </c>
    </row>
    <row r="16" spans="1:12" ht="15" thickBot="1" x14ac:dyDescent="0.4">
      <c r="A16" s="471" t="s">
        <v>219</v>
      </c>
      <c r="B16" s="472"/>
      <c r="C16" s="162">
        <v>4146</v>
      </c>
      <c r="D16" s="162">
        <v>4625</v>
      </c>
      <c r="E16" s="162">
        <v>4625</v>
      </c>
      <c r="F16" s="162">
        <v>5486</v>
      </c>
      <c r="G16" s="162">
        <v>5910</v>
      </c>
    </row>
    <row r="17" spans="1:7" ht="15" thickBot="1" x14ac:dyDescent="0.4">
      <c r="A17" s="471" t="s">
        <v>221</v>
      </c>
      <c r="B17" s="472"/>
      <c r="C17" s="162">
        <v>3668</v>
      </c>
      <c r="D17" s="162">
        <v>4138</v>
      </c>
      <c r="E17" s="162">
        <v>4169</v>
      </c>
      <c r="F17" s="162">
        <v>4231</v>
      </c>
      <c r="G17" s="162">
        <v>3342</v>
      </c>
    </row>
    <row r="18" spans="1:7" ht="15" thickBot="1" x14ac:dyDescent="0.4">
      <c r="A18" s="471" t="s">
        <v>223</v>
      </c>
      <c r="B18" s="472"/>
      <c r="C18" s="163">
        <v>0.46939999999999998</v>
      </c>
      <c r="D18" s="163">
        <v>0.47220000000000001</v>
      </c>
      <c r="E18" s="163">
        <v>0.47410000000000002</v>
      </c>
      <c r="F18" s="163">
        <v>0.43540000000000001</v>
      </c>
      <c r="G18" s="163">
        <v>0.36120000000000002</v>
      </c>
    </row>
    <row r="19" spans="1:7" ht="15" thickBot="1" x14ac:dyDescent="0.4">
      <c r="A19" s="473" t="s">
        <v>235</v>
      </c>
      <c r="B19" s="474"/>
      <c r="C19" s="161">
        <v>1</v>
      </c>
      <c r="D19" s="161">
        <v>1</v>
      </c>
      <c r="E19" s="161">
        <v>1</v>
      </c>
      <c r="F19" s="161">
        <v>1</v>
      </c>
      <c r="G19" s="161">
        <v>1</v>
      </c>
    </row>
    <row r="20" spans="1:7" ht="15" thickBot="1" x14ac:dyDescent="0.4">
      <c r="A20" s="471" t="s">
        <v>216</v>
      </c>
      <c r="B20" s="472"/>
      <c r="C20" s="162">
        <v>52562</v>
      </c>
      <c r="D20" s="162">
        <v>56318</v>
      </c>
      <c r="E20" s="162">
        <v>59636</v>
      </c>
      <c r="F20" s="162">
        <v>60919</v>
      </c>
      <c r="G20" s="162">
        <v>59956</v>
      </c>
    </row>
    <row r="21" spans="1:7" ht="15" thickBot="1" x14ac:dyDescent="0.4">
      <c r="A21" s="471" t="s">
        <v>217</v>
      </c>
      <c r="B21" s="472"/>
      <c r="C21" s="162">
        <v>52562</v>
      </c>
      <c r="D21" s="162">
        <v>56318</v>
      </c>
      <c r="E21" s="162">
        <v>59636</v>
      </c>
      <c r="F21" s="162">
        <v>60919</v>
      </c>
      <c r="G21" s="162">
        <v>59956</v>
      </c>
    </row>
    <row r="22" spans="1:7" ht="15" thickBot="1" x14ac:dyDescent="0.4">
      <c r="A22" s="471" t="s">
        <v>219</v>
      </c>
      <c r="B22" s="472"/>
      <c r="C22" s="162">
        <v>27951</v>
      </c>
      <c r="D22" s="162">
        <v>29746</v>
      </c>
      <c r="E22" s="162">
        <v>31968</v>
      </c>
      <c r="F22" s="162">
        <v>34641</v>
      </c>
      <c r="G22" s="162">
        <v>36059</v>
      </c>
    </row>
    <row r="23" spans="1:7" ht="15" thickBot="1" x14ac:dyDescent="0.4">
      <c r="A23" s="471" t="s">
        <v>221</v>
      </c>
      <c r="B23" s="472"/>
      <c r="C23" s="162">
        <v>24611</v>
      </c>
      <c r="D23" s="162">
        <v>26572</v>
      </c>
      <c r="E23" s="162">
        <v>27669</v>
      </c>
      <c r="F23" s="162">
        <v>26278</v>
      </c>
      <c r="G23" s="162">
        <v>23897</v>
      </c>
    </row>
    <row r="24" spans="1:7" x14ac:dyDescent="0.35">
      <c r="A24" s="469" t="s">
        <v>223</v>
      </c>
      <c r="B24" s="470"/>
      <c r="C24" s="163">
        <v>0.46820000000000001</v>
      </c>
      <c r="D24" s="163">
        <v>0.4718</v>
      </c>
      <c r="E24" s="163">
        <v>0.46400000000000002</v>
      </c>
      <c r="F24" s="163">
        <v>0.43140000000000001</v>
      </c>
      <c r="G24" s="163">
        <v>0.39860000000000001</v>
      </c>
    </row>
  </sheetData>
  <mergeCells count="19">
    <mergeCell ref="A17:B17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4:B24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0D88-B12E-404A-A33C-21B26A105C66}">
  <dimension ref="A1:AD478"/>
  <sheetViews>
    <sheetView zoomScale="85" zoomScaleNormal="85" workbookViewId="0">
      <selection activeCell="D14" sqref="D13:D14"/>
    </sheetView>
  </sheetViews>
  <sheetFormatPr defaultRowHeight="14.5" x14ac:dyDescent="0.35"/>
  <cols>
    <col min="1" max="1" width="67.81640625" bestFit="1" customWidth="1"/>
    <col min="3" max="5" width="16.54296875" bestFit="1" customWidth="1"/>
    <col min="6" max="6" width="18" bestFit="1" customWidth="1"/>
    <col min="7" max="7" width="16" bestFit="1" customWidth="1"/>
    <col min="8" max="8" width="19.26953125" style="231" customWidth="1"/>
    <col min="9" max="10" width="29.26953125" style="231" bestFit="1" customWidth="1"/>
    <col min="11" max="11" width="16.453125" style="231" bestFit="1" customWidth="1"/>
    <col min="16" max="16" width="5.7265625" bestFit="1" customWidth="1"/>
    <col min="17" max="17" width="12" bestFit="1" customWidth="1"/>
    <col min="18" max="19" width="10.54296875" bestFit="1" customWidth="1"/>
  </cols>
  <sheetData>
    <row r="1" spans="1:30" x14ac:dyDescent="0.35">
      <c r="A1" s="99" t="s">
        <v>833</v>
      </c>
    </row>
    <row r="3" spans="1:30" x14ac:dyDescent="0.35">
      <c r="A3" s="100" t="s">
        <v>834</v>
      </c>
    </row>
    <row r="4" spans="1:30" ht="15" thickBot="1" x14ac:dyDescent="0.4">
      <c r="A4" s="100" t="s">
        <v>835</v>
      </c>
    </row>
    <row r="5" spans="1:30" ht="15" thickBot="1" x14ac:dyDescent="0.4">
      <c r="A5" s="101" t="s">
        <v>3</v>
      </c>
      <c r="B5" s="101" t="s">
        <v>253</v>
      </c>
      <c r="C5" s="102">
        <v>2018</v>
      </c>
      <c r="D5" s="102">
        <v>2019</v>
      </c>
      <c r="E5" s="102">
        <v>2020</v>
      </c>
      <c r="F5" s="102">
        <v>2021</v>
      </c>
      <c r="G5" s="102">
        <v>2022</v>
      </c>
      <c r="J5" s="232"/>
      <c r="K5" s="232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</row>
    <row r="6" spans="1:30" ht="15" thickBot="1" x14ac:dyDescent="0.4">
      <c r="A6" s="103" t="s">
        <v>312</v>
      </c>
      <c r="B6" s="104">
        <v>52</v>
      </c>
      <c r="C6" s="104">
        <v>68</v>
      </c>
      <c r="D6" s="121">
        <v>78</v>
      </c>
      <c r="E6" s="121">
        <v>78</v>
      </c>
      <c r="F6" s="121">
        <v>86</v>
      </c>
      <c r="G6" s="105">
        <v>98</v>
      </c>
    </row>
    <row r="7" spans="1:30" ht="15" thickBot="1" x14ac:dyDescent="0.4">
      <c r="A7" s="108" t="s">
        <v>836</v>
      </c>
      <c r="B7" s="98"/>
      <c r="C7" s="109"/>
      <c r="D7" s="109"/>
      <c r="E7" s="109"/>
      <c r="F7" s="109"/>
      <c r="G7" s="109"/>
    </row>
    <row r="8" spans="1:30" x14ac:dyDescent="0.35">
      <c r="A8" s="110" t="s">
        <v>837</v>
      </c>
      <c r="B8" s="123">
        <v>0.29299999999999998</v>
      </c>
      <c r="C8" s="112">
        <v>0.46800000000000003</v>
      </c>
      <c r="D8" s="112">
        <v>0.47199999999999998</v>
      </c>
      <c r="E8" s="112">
        <v>0.46400000000000002</v>
      </c>
      <c r="F8" s="112">
        <v>0.43099999999999999</v>
      </c>
      <c r="G8" s="112">
        <v>0.39900000000000002</v>
      </c>
      <c r="I8" s="231" t="e" cm="1">
        <f t="array" ref="I8">_xlfn.SORTBY(C5:G38,C8:G38,1)</f>
        <v>#VALUE!</v>
      </c>
    </row>
    <row r="9" spans="1:30" ht="15" thickBot="1" x14ac:dyDescent="0.4">
      <c r="A9" s="113" t="s">
        <v>92</v>
      </c>
      <c r="B9" s="114"/>
      <c r="C9" s="115" t="s">
        <v>838</v>
      </c>
      <c r="D9" s="115" t="s">
        <v>839</v>
      </c>
      <c r="E9" s="115" t="s">
        <v>840</v>
      </c>
      <c r="F9" s="115" t="s">
        <v>96</v>
      </c>
      <c r="G9" s="115" t="s">
        <v>841</v>
      </c>
    </row>
    <row r="10" spans="1:30" x14ac:dyDescent="0.35">
      <c r="A10" s="110" t="s">
        <v>842</v>
      </c>
      <c r="B10" s="111" t="s">
        <v>843</v>
      </c>
      <c r="C10" s="112">
        <v>0.246</v>
      </c>
      <c r="D10" s="112">
        <v>0.252</v>
      </c>
      <c r="E10" s="112">
        <v>0.25900000000000001</v>
      </c>
      <c r="F10" s="112">
        <v>0.23200000000000001</v>
      </c>
      <c r="G10" s="112">
        <v>0.2</v>
      </c>
    </row>
    <row r="11" spans="1:30" ht="15" thickBot="1" x14ac:dyDescent="0.4">
      <c r="A11" s="113" t="s">
        <v>92</v>
      </c>
      <c r="B11" s="114"/>
      <c r="C11" s="115" t="s">
        <v>844</v>
      </c>
      <c r="D11" s="115" t="s">
        <v>845</v>
      </c>
      <c r="E11" s="115" t="s">
        <v>846</v>
      </c>
      <c r="F11" s="115" t="s">
        <v>847</v>
      </c>
      <c r="G11" s="115" t="s">
        <v>841</v>
      </c>
    </row>
    <row r="12" spans="1:30" x14ac:dyDescent="0.35">
      <c r="A12" s="110" t="s">
        <v>274</v>
      </c>
      <c r="B12" s="111">
        <v>0.11</v>
      </c>
      <c r="C12" s="112">
        <v>0.22600000000000001</v>
      </c>
      <c r="D12" s="112">
        <v>0.22700000000000001</v>
      </c>
      <c r="E12" s="112">
        <v>0.22700000000000001</v>
      </c>
      <c r="F12" s="112">
        <v>0.20899999999999999</v>
      </c>
      <c r="G12" s="112">
        <v>0.17499999999999999</v>
      </c>
    </row>
    <row r="13" spans="1:30" ht="15" thickBot="1" x14ac:dyDescent="0.4">
      <c r="A13" s="113" t="s">
        <v>92</v>
      </c>
      <c r="B13" s="114"/>
      <c r="C13" s="115" t="s">
        <v>848</v>
      </c>
      <c r="D13" s="115" t="s">
        <v>849</v>
      </c>
      <c r="E13" s="115" t="s">
        <v>850</v>
      </c>
      <c r="F13" s="115" t="s">
        <v>851</v>
      </c>
      <c r="G13" s="115" t="s">
        <v>852</v>
      </c>
    </row>
    <row r="14" spans="1:30" x14ac:dyDescent="0.35">
      <c r="A14" s="110" t="s">
        <v>853</v>
      </c>
      <c r="B14" s="111" t="s">
        <v>854</v>
      </c>
      <c r="C14" s="112">
        <v>0.22900000000000001</v>
      </c>
      <c r="D14" s="112">
        <v>0.22700000000000001</v>
      </c>
      <c r="E14" s="112">
        <v>0.22700000000000001</v>
      </c>
      <c r="F14" s="112">
        <v>0.21199999999999999</v>
      </c>
      <c r="G14" s="112">
        <v>0.17499999999999999</v>
      </c>
    </row>
    <row r="15" spans="1:30" ht="15" thickBot="1" x14ac:dyDescent="0.4">
      <c r="A15" s="113" t="s">
        <v>92</v>
      </c>
      <c r="B15" s="114"/>
      <c r="C15" s="115" t="s">
        <v>855</v>
      </c>
      <c r="D15" s="115" t="s">
        <v>856</v>
      </c>
      <c r="E15" s="115" t="s">
        <v>850</v>
      </c>
      <c r="F15" s="115" t="s">
        <v>857</v>
      </c>
      <c r="G15" s="115" t="s">
        <v>858</v>
      </c>
    </row>
    <row r="16" spans="1:30" x14ac:dyDescent="0.35">
      <c r="A16" s="110" t="s">
        <v>859</v>
      </c>
      <c r="B16" s="111" t="s">
        <v>860</v>
      </c>
      <c r="C16" s="112">
        <v>0.153</v>
      </c>
      <c r="D16" s="112">
        <v>0.17499999999999999</v>
      </c>
      <c r="E16" s="112">
        <v>0.16900000000000001</v>
      </c>
      <c r="F16" s="112">
        <v>0.17699999999999999</v>
      </c>
      <c r="G16" s="112">
        <v>0.183</v>
      </c>
    </row>
    <row r="17" spans="1:11" ht="15" thickBot="1" x14ac:dyDescent="0.4">
      <c r="A17" s="113" t="s">
        <v>92</v>
      </c>
      <c r="B17" s="114"/>
      <c r="C17" s="115" t="s">
        <v>838</v>
      </c>
      <c r="D17" s="115" t="s">
        <v>861</v>
      </c>
      <c r="E17" s="115" t="s">
        <v>862</v>
      </c>
      <c r="F17" s="115" t="s">
        <v>863</v>
      </c>
      <c r="G17" s="115" t="s">
        <v>845</v>
      </c>
    </row>
    <row r="18" spans="1:11" x14ac:dyDescent="0.35">
      <c r="A18" s="110" t="s">
        <v>864</v>
      </c>
      <c r="B18" s="111" t="s">
        <v>865</v>
      </c>
      <c r="C18" s="112">
        <v>0.19400000000000001</v>
      </c>
      <c r="D18" s="112">
        <v>0.187</v>
      </c>
      <c r="E18" s="112">
        <v>0.188</v>
      </c>
      <c r="F18" s="112">
        <v>0.17499999999999999</v>
      </c>
      <c r="G18" s="112">
        <v>0.14299999999999999</v>
      </c>
    </row>
    <row r="19" spans="1:11" ht="15" thickBot="1" x14ac:dyDescent="0.4">
      <c r="A19" s="113" t="s">
        <v>92</v>
      </c>
      <c r="B19" s="114"/>
      <c r="C19" s="115" t="s">
        <v>838</v>
      </c>
      <c r="D19" s="115" t="s">
        <v>838</v>
      </c>
      <c r="E19" s="115" t="s">
        <v>849</v>
      </c>
      <c r="F19" s="115" t="s">
        <v>94</v>
      </c>
      <c r="G19" s="115" t="s">
        <v>841</v>
      </c>
    </row>
    <row r="20" spans="1:11" ht="15" thickBot="1" x14ac:dyDescent="0.4">
      <c r="A20" s="108" t="s">
        <v>866</v>
      </c>
      <c r="B20" s="98"/>
      <c r="C20" s="109"/>
      <c r="D20" s="109"/>
      <c r="E20" s="109"/>
      <c r="F20" s="109"/>
      <c r="G20" s="109"/>
    </row>
    <row r="21" spans="1:11" s="192" customFormat="1" x14ac:dyDescent="0.35">
      <c r="A21" s="172" t="s">
        <v>867</v>
      </c>
      <c r="B21" s="165" t="s">
        <v>868</v>
      </c>
      <c r="C21" s="191">
        <v>1.46</v>
      </c>
      <c r="D21" s="191">
        <v>1.37</v>
      </c>
      <c r="E21" s="191">
        <f>1.28</f>
        <v>1.28</v>
      </c>
      <c r="F21" s="191">
        <v>1.2</v>
      </c>
      <c r="G21" s="191">
        <v>1.18</v>
      </c>
      <c r="H21" s="231"/>
      <c r="I21" s="231"/>
      <c r="J21" s="231"/>
      <c r="K21" s="231"/>
    </row>
    <row r="22" spans="1:11" ht="15" thickBot="1" x14ac:dyDescent="0.4">
      <c r="A22" s="113" t="s">
        <v>92</v>
      </c>
      <c r="B22" s="114"/>
      <c r="C22" s="115" t="s">
        <v>869</v>
      </c>
      <c r="D22" s="115" t="s">
        <v>870</v>
      </c>
      <c r="E22" s="115" t="s">
        <v>95</v>
      </c>
      <c r="F22" s="115" t="s">
        <v>871</v>
      </c>
      <c r="G22" s="115" t="s">
        <v>872</v>
      </c>
    </row>
    <row r="23" spans="1:11" x14ac:dyDescent="0.35">
      <c r="A23" s="110" t="s">
        <v>873</v>
      </c>
      <c r="B23" s="111" t="s">
        <v>854</v>
      </c>
      <c r="C23" s="112">
        <v>0.22900000000000001</v>
      </c>
      <c r="D23" s="112">
        <v>0.22700000000000001</v>
      </c>
      <c r="E23" s="112">
        <v>0.22700000000000001</v>
      </c>
      <c r="F23" s="112">
        <v>0.21199999999999999</v>
      </c>
      <c r="G23" s="112">
        <v>0.17499999999999999</v>
      </c>
    </row>
    <row r="24" spans="1:11" ht="15" thickBot="1" x14ac:dyDescent="0.4">
      <c r="A24" s="113" t="s">
        <v>92</v>
      </c>
      <c r="B24" s="114"/>
      <c r="C24" s="115" t="s">
        <v>855</v>
      </c>
      <c r="D24" s="115" t="s">
        <v>856</v>
      </c>
      <c r="E24" s="115" t="s">
        <v>850</v>
      </c>
      <c r="F24" s="115" t="s">
        <v>857</v>
      </c>
      <c r="G24" s="115" t="s">
        <v>858</v>
      </c>
    </row>
    <row r="25" spans="1:11" x14ac:dyDescent="0.35">
      <c r="A25" s="110" t="s">
        <v>874</v>
      </c>
      <c r="B25" s="111" t="s">
        <v>875</v>
      </c>
      <c r="C25" s="112">
        <v>0.33500000000000002</v>
      </c>
      <c r="D25" s="112">
        <v>0.312</v>
      </c>
      <c r="E25" s="112">
        <v>0.28999999999999998</v>
      </c>
      <c r="F25" s="112">
        <v>0.254</v>
      </c>
      <c r="G25" s="112">
        <v>0.20599999999999999</v>
      </c>
    </row>
    <row r="26" spans="1:11" ht="15" thickBot="1" x14ac:dyDescent="0.4">
      <c r="A26" s="113" t="s">
        <v>92</v>
      </c>
      <c r="B26" s="114"/>
      <c r="C26" s="115" t="s">
        <v>876</v>
      </c>
      <c r="D26" s="115" t="s">
        <v>877</v>
      </c>
      <c r="E26" s="115" t="s">
        <v>878</v>
      </c>
      <c r="F26" s="115" t="s">
        <v>879</v>
      </c>
      <c r="G26" s="115" t="s">
        <v>880</v>
      </c>
    </row>
    <row r="27" spans="1:11" x14ac:dyDescent="0.35">
      <c r="A27" s="110" t="s">
        <v>881</v>
      </c>
      <c r="B27" s="111" t="s">
        <v>882</v>
      </c>
      <c r="C27" s="116">
        <v>1.45</v>
      </c>
      <c r="D27" s="116">
        <v>1.63</v>
      </c>
      <c r="E27" s="116">
        <v>1.55</v>
      </c>
      <c r="F27" s="116">
        <v>1.61</v>
      </c>
      <c r="G27" s="116">
        <v>1.62</v>
      </c>
    </row>
    <row r="28" spans="1:11" ht="15" thickBot="1" x14ac:dyDescent="0.4">
      <c r="A28" s="113" t="s">
        <v>92</v>
      </c>
      <c r="B28" s="114"/>
      <c r="C28" s="115" t="s">
        <v>877</v>
      </c>
      <c r="D28" s="115" t="s">
        <v>883</v>
      </c>
      <c r="E28" s="115" t="s">
        <v>880</v>
      </c>
      <c r="F28" s="115" t="s">
        <v>884</v>
      </c>
      <c r="G28" s="115" t="s">
        <v>863</v>
      </c>
    </row>
    <row r="29" spans="1:11" x14ac:dyDescent="0.35">
      <c r="A29" s="110" t="s">
        <v>885</v>
      </c>
      <c r="B29" s="111" t="s">
        <v>886</v>
      </c>
      <c r="C29" s="112">
        <v>0.49</v>
      </c>
      <c r="D29" s="112">
        <v>0.48</v>
      </c>
      <c r="E29" s="112">
        <v>0.46</v>
      </c>
      <c r="F29" s="112">
        <v>0.40100000000000002</v>
      </c>
      <c r="G29" s="112">
        <v>0.33400000000000002</v>
      </c>
    </row>
    <row r="30" spans="1:11" ht="15" thickBot="1" x14ac:dyDescent="0.4">
      <c r="A30" s="113" t="s">
        <v>92</v>
      </c>
      <c r="B30" s="114"/>
      <c r="C30" s="115" t="s">
        <v>876</v>
      </c>
      <c r="D30" s="115" t="s">
        <v>887</v>
      </c>
      <c r="E30" s="115" t="s">
        <v>888</v>
      </c>
      <c r="F30" s="115" t="s">
        <v>889</v>
      </c>
      <c r="G30" s="115" t="s">
        <v>95</v>
      </c>
    </row>
    <row r="31" spans="1:11" x14ac:dyDescent="0.35">
      <c r="A31" s="110" t="s">
        <v>890</v>
      </c>
      <c r="B31" s="111" t="s">
        <v>891</v>
      </c>
      <c r="C31" s="116">
        <v>0.85</v>
      </c>
      <c r="D31" s="116">
        <v>0.83</v>
      </c>
      <c r="E31" s="116">
        <v>0.82</v>
      </c>
      <c r="F31" s="116">
        <v>0.82</v>
      </c>
      <c r="G31" s="116">
        <v>0.81</v>
      </c>
    </row>
    <row r="32" spans="1:11" ht="15" thickBot="1" x14ac:dyDescent="0.4">
      <c r="A32" s="113" t="s">
        <v>92</v>
      </c>
      <c r="B32" s="114"/>
      <c r="C32" s="115" t="s">
        <v>863</v>
      </c>
      <c r="D32" s="115" t="s">
        <v>892</v>
      </c>
      <c r="E32" s="115" t="s">
        <v>838</v>
      </c>
      <c r="F32" s="115" t="s">
        <v>838</v>
      </c>
      <c r="G32" s="115" t="s">
        <v>893</v>
      </c>
    </row>
    <row r="33" spans="1:7" x14ac:dyDescent="0.35">
      <c r="A33" s="110" t="s">
        <v>306</v>
      </c>
      <c r="B33" s="111" t="s">
        <v>894</v>
      </c>
      <c r="C33" s="112">
        <v>0.41599999999999998</v>
      </c>
      <c r="D33" s="112">
        <v>0.39700000000000002</v>
      </c>
      <c r="E33" s="112">
        <v>0.378</v>
      </c>
      <c r="F33" s="112">
        <v>0.32700000000000001</v>
      </c>
      <c r="G33" s="112">
        <v>0.27100000000000002</v>
      </c>
    </row>
    <row r="34" spans="1:7" ht="15" thickBot="1" x14ac:dyDescent="0.4">
      <c r="A34" s="113" t="s">
        <v>92</v>
      </c>
      <c r="B34" s="114"/>
      <c r="C34" s="115" t="s">
        <v>879</v>
      </c>
      <c r="D34" s="115" t="s">
        <v>895</v>
      </c>
      <c r="E34" s="115" t="s">
        <v>895</v>
      </c>
      <c r="F34" s="115" t="s">
        <v>896</v>
      </c>
      <c r="G34" s="115" t="s">
        <v>897</v>
      </c>
    </row>
    <row r="35" spans="1:7" x14ac:dyDescent="0.35">
      <c r="A35" s="110" t="s">
        <v>898</v>
      </c>
      <c r="B35" s="111" t="s">
        <v>899</v>
      </c>
      <c r="C35" s="116">
        <v>0.26</v>
      </c>
      <c r="D35" s="116">
        <v>0.18</v>
      </c>
      <c r="E35" s="116">
        <v>0.39</v>
      </c>
      <c r="F35" s="116">
        <v>0.2</v>
      </c>
      <c r="G35" s="116">
        <v>-0.45</v>
      </c>
    </row>
    <row r="36" spans="1:7" ht="15" thickBot="1" x14ac:dyDescent="0.4">
      <c r="A36" s="113" t="s">
        <v>92</v>
      </c>
      <c r="B36" s="114"/>
      <c r="C36" s="115" t="s">
        <v>900</v>
      </c>
      <c r="D36" s="115" t="s">
        <v>901</v>
      </c>
      <c r="E36" s="115" t="s">
        <v>902</v>
      </c>
      <c r="F36" s="115" t="s">
        <v>903</v>
      </c>
      <c r="G36" s="115" t="s">
        <v>904</v>
      </c>
    </row>
    <row r="37" spans="1:7" x14ac:dyDescent="0.35">
      <c r="A37" s="110" t="s">
        <v>905</v>
      </c>
      <c r="B37" s="111" t="s">
        <v>906</v>
      </c>
      <c r="C37" s="112">
        <v>9.8000000000000004E-2</v>
      </c>
      <c r="D37" s="112">
        <v>6.4000000000000001E-2</v>
      </c>
      <c r="E37" s="112">
        <v>0.13200000000000001</v>
      </c>
      <c r="F37" s="112">
        <v>0.06</v>
      </c>
      <c r="G37" s="112">
        <v>-0.107</v>
      </c>
    </row>
    <row r="38" spans="1:7" ht="15" thickBot="1" x14ac:dyDescent="0.4">
      <c r="A38" s="113" t="s">
        <v>92</v>
      </c>
      <c r="B38" s="114"/>
      <c r="C38" s="115" t="s">
        <v>907</v>
      </c>
      <c r="D38" s="115" t="s">
        <v>852</v>
      </c>
      <c r="E38" s="115" t="s">
        <v>908</v>
      </c>
      <c r="F38" s="115" t="s">
        <v>909</v>
      </c>
      <c r="G38" s="115" t="s">
        <v>910</v>
      </c>
    </row>
    <row r="39" spans="1:7" ht="15" thickBot="1" x14ac:dyDescent="0.4">
      <c r="A39" s="108" t="s">
        <v>911</v>
      </c>
      <c r="B39" s="98"/>
      <c r="C39" s="109"/>
      <c r="D39" s="109"/>
      <c r="E39" s="109"/>
      <c r="F39" s="109"/>
      <c r="G39" s="109"/>
    </row>
    <row r="40" spans="1:7" x14ac:dyDescent="0.35">
      <c r="A40" s="110" t="s">
        <v>912</v>
      </c>
      <c r="B40" s="111" t="s">
        <v>913</v>
      </c>
      <c r="C40" s="116">
        <v>1.41</v>
      </c>
      <c r="D40" s="116">
        <v>1.37</v>
      </c>
      <c r="E40" s="116">
        <v>1.74</v>
      </c>
      <c r="F40" s="116">
        <v>1.72</v>
      </c>
      <c r="G40" s="116">
        <v>1.7</v>
      </c>
    </row>
    <row r="41" spans="1:7" ht="15" thickBot="1" x14ac:dyDescent="0.4">
      <c r="A41" s="113" t="s">
        <v>92</v>
      </c>
      <c r="B41" s="114"/>
      <c r="C41" s="115" t="s">
        <v>914</v>
      </c>
      <c r="D41" s="115" t="s">
        <v>96</v>
      </c>
      <c r="E41" s="115" t="s">
        <v>915</v>
      </c>
      <c r="F41" s="115" t="s">
        <v>94</v>
      </c>
      <c r="G41" s="115" t="s">
        <v>855</v>
      </c>
    </row>
    <row r="42" spans="1:7" x14ac:dyDescent="0.35">
      <c r="A42" s="110" t="s">
        <v>916</v>
      </c>
      <c r="B42" s="111" t="s">
        <v>917</v>
      </c>
      <c r="C42" s="116">
        <v>1.93</v>
      </c>
      <c r="D42" s="116">
        <v>1.71</v>
      </c>
      <c r="E42" s="116">
        <v>2.09</v>
      </c>
      <c r="F42" s="116">
        <v>2.12</v>
      </c>
      <c r="G42" s="116">
        <v>2.06</v>
      </c>
    </row>
    <row r="43" spans="1:7" ht="15" thickBot="1" x14ac:dyDescent="0.4">
      <c r="A43" s="113" t="s">
        <v>92</v>
      </c>
      <c r="B43" s="114"/>
      <c r="C43" s="115" t="s">
        <v>918</v>
      </c>
      <c r="D43" s="115" t="s">
        <v>919</v>
      </c>
      <c r="E43" s="115" t="s">
        <v>920</v>
      </c>
      <c r="F43" s="115" t="s">
        <v>921</v>
      </c>
      <c r="G43" s="115" t="s">
        <v>892</v>
      </c>
    </row>
    <row r="44" spans="1:7" x14ac:dyDescent="0.35">
      <c r="A44" s="110" t="s">
        <v>922</v>
      </c>
      <c r="B44" s="111" t="s">
        <v>923</v>
      </c>
      <c r="C44" s="117">
        <v>218.6</v>
      </c>
      <c r="D44" s="117">
        <v>112.1</v>
      </c>
      <c r="E44" s="117">
        <v>86.9</v>
      </c>
      <c r="F44" s="117">
        <v>132.30000000000001</v>
      </c>
      <c r="G44" s="117">
        <v>58</v>
      </c>
    </row>
    <row r="45" spans="1:7" ht="15" thickBot="1" x14ac:dyDescent="0.4">
      <c r="A45" s="113" t="s">
        <v>92</v>
      </c>
      <c r="B45" s="114"/>
      <c r="C45" s="115" t="s">
        <v>924</v>
      </c>
      <c r="D45" s="115" t="s">
        <v>925</v>
      </c>
      <c r="E45" s="115" t="s">
        <v>926</v>
      </c>
      <c r="F45" s="115" t="s">
        <v>927</v>
      </c>
      <c r="G45" s="115" t="s">
        <v>928</v>
      </c>
    </row>
    <row r="46" spans="1:7" x14ac:dyDescent="0.35">
      <c r="A46" s="110" t="s">
        <v>929</v>
      </c>
      <c r="B46" s="111" t="s">
        <v>930</v>
      </c>
      <c r="C46" s="117">
        <v>38.200000000000003</v>
      </c>
      <c r="D46" s="117">
        <v>43.3</v>
      </c>
      <c r="E46" s="117">
        <v>44.2</v>
      </c>
      <c r="F46" s="117">
        <v>52.5</v>
      </c>
      <c r="G46" s="117">
        <v>52.5</v>
      </c>
    </row>
    <row r="47" spans="1:7" ht="15" thickBot="1" x14ac:dyDescent="0.4">
      <c r="A47" s="113" t="s">
        <v>92</v>
      </c>
      <c r="B47" s="114"/>
      <c r="C47" s="115" t="s">
        <v>839</v>
      </c>
      <c r="D47" s="115" t="s">
        <v>931</v>
      </c>
      <c r="E47" s="115" t="s">
        <v>932</v>
      </c>
      <c r="F47" s="115" t="s">
        <v>933</v>
      </c>
      <c r="G47" s="115" t="s">
        <v>850</v>
      </c>
    </row>
    <row r="48" spans="1:7" ht="15" thickBot="1" x14ac:dyDescent="0.4">
      <c r="A48" s="108" t="s">
        <v>305</v>
      </c>
      <c r="B48" s="98"/>
      <c r="C48" s="109"/>
      <c r="D48" s="109"/>
      <c r="E48" s="109"/>
      <c r="F48" s="109"/>
      <c r="G48" s="109"/>
    </row>
    <row r="49" spans="1:12" x14ac:dyDescent="0.35">
      <c r="A49" s="110" t="s">
        <v>934</v>
      </c>
      <c r="B49" s="111" t="s">
        <v>882</v>
      </c>
      <c r="C49" s="116">
        <v>1.45</v>
      </c>
      <c r="D49" s="116">
        <v>1.63</v>
      </c>
      <c r="E49" s="116">
        <v>1.55</v>
      </c>
      <c r="F49" s="116">
        <v>1.61</v>
      </c>
      <c r="G49" s="116">
        <v>1.62</v>
      </c>
    </row>
    <row r="50" spans="1:12" ht="15" thickBot="1" x14ac:dyDescent="0.4">
      <c r="A50" s="113" t="s">
        <v>92</v>
      </c>
      <c r="B50" s="114"/>
      <c r="C50" s="115" t="s">
        <v>877</v>
      </c>
      <c r="D50" s="115" t="s">
        <v>883</v>
      </c>
      <c r="E50" s="115" t="s">
        <v>880</v>
      </c>
      <c r="F50" s="115" t="s">
        <v>884</v>
      </c>
      <c r="G50" s="115" t="s">
        <v>863</v>
      </c>
    </row>
    <row r="51" spans="1:12" x14ac:dyDescent="0.35">
      <c r="A51" s="110" t="s">
        <v>935</v>
      </c>
      <c r="B51" s="111" t="s">
        <v>936</v>
      </c>
      <c r="C51" s="116">
        <v>0.05</v>
      </c>
      <c r="D51" s="116">
        <v>0.2</v>
      </c>
      <c r="E51" s="116">
        <v>0.24</v>
      </c>
      <c r="F51" s="116">
        <v>0.28999999999999998</v>
      </c>
      <c r="G51" s="116">
        <v>0.17</v>
      </c>
    </row>
    <row r="52" spans="1:12" ht="15" thickBot="1" x14ac:dyDescent="0.4">
      <c r="A52" s="113" t="s">
        <v>92</v>
      </c>
      <c r="B52" s="114"/>
      <c r="C52" s="115" t="s">
        <v>902</v>
      </c>
      <c r="D52" s="115" t="s">
        <v>902</v>
      </c>
      <c r="E52" s="115" t="s">
        <v>937</v>
      </c>
      <c r="F52" s="115" t="s">
        <v>938</v>
      </c>
      <c r="G52" s="115" t="s">
        <v>939</v>
      </c>
    </row>
    <row r="53" spans="1:12" x14ac:dyDescent="0.35">
      <c r="A53" s="110" t="s">
        <v>940</v>
      </c>
      <c r="B53" s="111" t="s">
        <v>941</v>
      </c>
      <c r="C53" s="112">
        <v>8.0000000000000002E-3</v>
      </c>
      <c r="D53" s="112">
        <v>3.0000000000000001E-3</v>
      </c>
      <c r="E53" s="112">
        <v>4.0000000000000001E-3</v>
      </c>
      <c r="F53" s="112">
        <v>2E-3</v>
      </c>
      <c r="G53" s="112">
        <v>2E-3</v>
      </c>
    </row>
    <row r="54" spans="1:12" ht="15" thickBot="1" x14ac:dyDescent="0.4">
      <c r="A54" s="113" t="s">
        <v>92</v>
      </c>
      <c r="B54" s="114"/>
      <c r="C54" s="115" t="s">
        <v>942</v>
      </c>
      <c r="D54" s="115" t="s">
        <v>893</v>
      </c>
      <c r="E54" s="115" t="s">
        <v>849</v>
      </c>
      <c r="F54" s="115" t="s">
        <v>856</v>
      </c>
      <c r="G54" s="115" t="s">
        <v>850</v>
      </c>
    </row>
    <row r="55" spans="1:12" x14ac:dyDescent="0.35">
      <c r="A55" s="110" t="s">
        <v>943</v>
      </c>
      <c r="B55" s="111" t="s">
        <v>944</v>
      </c>
      <c r="C55" s="116" t="s">
        <v>202</v>
      </c>
      <c r="D55" s="116" t="s">
        <v>202</v>
      </c>
      <c r="E55" s="116" t="s">
        <v>202</v>
      </c>
      <c r="F55" s="116" t="s">
        <v>202</v>
      </c>
      <c r="G55" s="116" t="s">
        <v>202</v>
      </c>
    </row>
    <row r="56" spans="1:12" ht="15" thickBot="1" x14ac:dyDescent="0.4">
      <c r="A56" s="113" t="s">
        <v>92</v>
      </c>
      <c r="B56" s="114"/>
      <c r="C56" s="115" t="s">
        <v>945</v>
      </c>
      <c r="D56" s="115" t="s">
        <v>945</v>
      </c>
      <c r="E56" s="115" t="s">
        <v>945</v>
      </c>
      <c r="F56" s="115" t="s">
        <v>945</v>
      </c>
      <c r="G56" s="115" t="s">
        <v>945</v>
      </c>
    </row>
    <row r="57" spans="1:12" ht="15" thickBot="1" x14ac:dyDescent="0.4">
      <c r="A57" s="108" t="s">
        <v>946</v>
      </c>
      <c r="B57" s="98"/>
      <c r="C57" s="109"/>
      <c r="D57" s="109"/>
      <c r="E57" s="109"/>
      <c r="F57" s="109"/>
      <c r="G57" s="109"/>
    </row>
    <row r="58" spans="1:12" x14ac:dyDescent="0.35">
      <c r="A58" s="110" t="s">
        <v>947</v>
      </c>
      <c r="B58" s="111" t="s">
        <v>948</v>
      </c>
      <c r="C58" s="117">
        <v>13.2</v>
      </c>
      <c r="D58" s="117">
        <v>14.3</v>
      </c>
      <c r="E58" s="117">
        <v>13.7</v>
      </c>
      <c r="F58" s="117">
        <v>12.2</v>
      </c>
      <c r="G58" s="117">
        <v>11</v>
      </c>
    </row>
    <row r="59" spans="1:12" ht="15" thickBot="1" x14ac:dyDescent="0.4">
      <c r="A59" s="113" t="s">
        <v>92</v>
      </c>
      <c r="B59" s="114"/>
      <c r="C59" s="115" t="s">
        <v>949</v>
      </c>
      <c r="D59" s="115" t="s">
        <v>950</v>
      </c>
      <c r="E59" s="115" t="s">
        <v>951</v>
      </c>
      <c r="F59" s="115" t="s">
        <v>952</v>
      </c>
      <c r="G59" s="115" t="s">
        <v>953</v>
      </c>
    </row>
    <row r="60" spans="1:12" x14ac:dyDescent="0.35">
      <c r="A60" s="110" t="s">
        <v>91</v>
      </c>
      <c r="B60" s="111" t="s">
        <v>954</v>
      </c>
      <c r="C60" s="117">
        <v>27.8</v>
      </c>
      <c r="D60" s="117">
        <v>25.7</v>
      </c>
      <c r="E60" s="117">
        <v>26.8</v>
      </c>
      <c r="F60" s="117">
        <v>30</v>
      </c>
      <c r="G60" s="117">
        <v>33.200000000000003</v>
      </c>
      <c r="H60" s="404">
        <f>G60*(1+$H$61)</f>
        <v>35.43768</v>
      </c>
      <c r="I60" s="404">
        <f>H60*(1+$H$61)</f>
        <v>37.826179631999999</v>
      </c>
      <c r="J60" s="404">
        <f>I60*(1-$H$61)</f>
        <v>35.276695124803197</v>
      </c>
      <c r="K60" s="404">
        <f>J60*(1-$H$61)</f>
        <v>32.899045873391458</v>
      </c>
      <c r="L60" s="404">
        <f>K60*(1-$H$61)</f>
        <v>30.681650181524873</v>
      </c>
    </row>
    <row r="61" spans="1:12" ht="15" thickBot="1" x14ac:dyDescent="0.4">
      <c r="A61" s="113" t="s">
        <v>92</v>
      </c>
      <c r="B61" s="114"/>
      <c r="C61" s="400">
        <v>0.14499999999999999</v>
      </c>
      <c r="D61" s="400">
        <v>-7.8E-2</v>
      </c>
      <c r="E61" s="400">
        <v>4.2999999999999997E-2</v>
      </c>
      <c r="F61" s="400">
        <v>0.12</v>
      </c>
      <c r="G61" s="400">
        <v>0.107</v>
      </c>
      <c r="H61" s="401">
        <f>AVERAGE(C61:G61)</f>
        <v>6.7399999999999988E-2</v>
      </c>
    </row>
    <row r="62" spans="1:12" x14ac:dyDescent="0.35">
      <c r="A62" s="110" t="s">
        <v>93</v>
      </c>
      <c r="B62" s="111" t="s">
        <v>955</v>
      </c>
      <c r="C62" s="117">
        <v>5.9</v>
      </c>
      <c r="D62" s="117">
        <v>5.7</v>
      </c>
      <c r="E62" s="117">
        <v>6.5</v>
      </c>
      <c r="F62" s="117">
        <v>5.9</v>
      </c>
      <c r="G62" s="117">
        <v>5.9</v>
      </c>
    </row>
    <row r="63" spans="1:12" ht="15" thickBot="1" x14ac:dyDescent="0.4">
      <c r="A63" s="113" t="s">
        <v>92</v>
      </c>
      <c r="B63" s="114"/>
      <c r="C63" s="115" t="s">
        <v>95</v>
      </c>
      <c r="D63" s="115" t="s">
        <v>96</v>
      </c>
      <c r="E63" s="115" t="s">
        <v>97</v>
      </c>
      <c r="F63" s="115" t="s">
        <v>98</v>
      </c>
      <c r="G63" s="115" t="s">
        <v>94</v>
      </c>
    </row>
    <row r="64" spans="1:12" x14ac:dyDescent="0.35">
      <c r="A64" s="110" t="s">
        <v>99</v>
      </c>
      <c r="B64" s="111" t="s">
        <v>956</v>
      </c>
      <c r="C64" s="117">
        <v>62.5</v>
      </c>
      <c r="D64" s="117">
        <v>64.7</v>
      </c>
      <c r="E64" s="117">
        <v>56.6</v>
      </c>
      <c r="F64" s="117">
        <v>61.7</v>
      </c>
      <c r="G64" s="117">
        <v>62.5</v>
      </c>
      <c r="H64" s="404">
        <f>AVERAGE(C64:G64)</f>
        <v>61.6</v>
      </c>
      <c r="I64" s="404">
        <f>H64</f>
        <v>61.6</v>
      </c>
      <c r="J64" s="404">
        <f>I64</f>
        <v>61.6</v>
      </c>
      <c r="K64" s="404">
        <f>J64</f>
        <v>61.6</v>
      </c>
      <c r="L64" s="404">
        <f>K64</f>
        <v>61.6</v>
      </c>
    </row>
    <row r="65" spans="1:12" ht="15" thickBot="1" x14ac:dyDescent="0.4">
      <c r="A65" s="113" t="s">
        <v>92</v>
      </c>
      <c r="B65" s="114"/>
      <c r="C65" s="400">
        <v>7.1999999999999995E-2</v>
      </c>
      <c r="D65" s="400">
        <v>3.4000000000000002E-2</v>
      </c>
      <c r="E65" s="400">
        <v>-0.124</v>
      </c>
      <c r="F65" s="400">
        <v>0.09</v>
      </c>
      <c r="G65" s="400">
        <v>1.2999999999999999E-2</v>
      </c>
      <c r="H65" s="403">
        <f>AVERAGE(C65:G65)</f>
        <v>1.6999999999999998E-2</v>
      </c>
    </row>
    <row r="66" spans="1:12" x14ac:dyDescent="0.35">
      <c r="A66" s="110" t="s">
        <v>100</v>
      </c>
      <c r="B66" s="111" t="s">
        <v>957</v>
      </c>
      <c r="C66" s="117">
        <v>52.1</v>
      </c>
      <c r="D66" s="117">
        <v>47</v>
      </c>
      <c r="E66" s="117">
        <v>39.200000000000003</v>
      </c>
      <c r="F66" s="117">
        <v>39.200000000000003</v>
      </c>
      <c r="G66" s="117">
        <v>43.1</v>
      </c>
      <c r="H66" s="402">
        <f>G66*(1+$H$67)</f>
        <v>41.332900000000002</v>
      </c>
      <c r="I66" s="402">
        <f>H66*(1+$H$67)</f>
        <v>39.638251099999998</v>
      </c>
      <c r="J66" s="402">
        <f>I66*(1-$H$67)</f>
        <v>41.263419395099994</v>
      </c>
      <c r="K66" s="402">
        <f>J66*(1-$H$67)</f>
        <v>42.955219590299095</v>
      </c>
      <c r="L66" s="402">
        <f>K66*(1-$H$67)</f>
        <v>44.716383593501355</v>
      </c>
    </row>
    <row r="67" spans="1:12" ht="15" thickBot="1" x14ac:dyDescent="0.4">
      <c r="A67" s="113" t="s">
        <v>92</v>
      </c>
      <c r="B67" s="114"/>
      <c r="C67" s="400">
        <v>0.16900000000000001</v>
      </c>
      <c r="D67" s="400">
        <v>-9.8000000000000004E-2</v>
      </c>
      <c r="E67" s="400">
        <v>-0.16600000000000001</v>
      </c>
      <c r="F67" s="400">
        <v>-1E-3</v>
      </c>
      <c r="G67" s="400">
        <v>0.10100000000000001</v>
      </c>
      <c r="H67" s="401">
        <f>AVERAGE(D67:G67)</f>
        <v>-4.1000000000000002E-2</v>
      </c>
    </row>
    <row r="68" spans="1:12" x14ac:dyDescent="0.35">
      <c r="A68" s="110" t="s">
        <v>958</v>
      </c>
      <c r="B68" s="111" t="s">
        <v>959</v>
      </c>
      <c r="C68" s="116">
        <v>4.0199999999999996</v>
      </c>
      <c r="D68" s="116">
        <v>3.94</v>
      </c>
      <c r="E68" s="116">
        <v>4.1900000000000004</v>
      </c>
      <c r="F68" s="116">
        <v>4.59</v>
      </c>
      <c r="G68" s="116">
        <v>4.72</v>
      </c>
    </row>
    <row r="69" spans="1:12" ht="15" thickBot="1" x14ac:dyDescent="0.4">
      <c r="A69" s="113" t="s">
        <v>92</v>
      </c>
      <c r="B69" s="114"/>
      <c r="C69" s="115" t="s">
        <v>910</v>
      </c>
      <c r="D69" s="115" t="s">
        <v>960</v>
      </c>
      <c r="E69" s="115" t="s">
        <v>961</v>
      </c>
      <c r="F69" s="115" t="s">
        <v>962</v>
      </c>
      <c r="G69" s="115" t="s">
        <v>963</v>
      </c>
    </row>
    <row r="70" spans="1:12" x14ac:dyDescent="0.35">
      <c r="A70" s="110" t="s">
        <v>964</v>
      </c>
      <c r="B70" s="118" t="s">
        <v>965</v>
      </c>
      <c r="C70" s="112">
        <v>-2.8000000000000001E-2</v>
      </c>
      <c r="D70" s="112">
        <v>-1.0999999999999999E-2</v>
      </c>
      <c r="E70" s="112">
        <v>3.5999999999999997E-2</v>
      </c>
      <c r="F70" s="112">
        <v>6.7000000000000004E-2</v>
      </c>
      <c r="G70" s="112">
        <v>1.0999999999999999E-2</v>
      </c>
    </row>
    <row r="71" spans="1:12" ht="15" thickBot="1" x14ac:dyDescent="0.4">
      <c r="A71" s="113" t="s">
        <v>92</v>
      </c>
      <c r="B71" s="114"/>
      <c r="C71" s="115" t="s">
        <v>856</v>
      </c>
      <c r="D71" s="115" t="s">
        <v>966</v>
      </c>
      <c r="E71" s="115" t="s">
        <v>967</v>
      </c>
      <c r="F71" s="115" t="s">
        <v>968</v>
      </c>
      <c r="G71" s="115" t="s">
        <v>897</v>
      </c>
    </row>
    <row r="72" spans="1:12" x14ac:dyDescent="0.35">
      <c r="A72" s="110" t="s">
        <v>969</v>
      </c>
      <c r="B72" s="111" t="s">
        <v>966</v>
      </c>
      <c r="C72" s="112">
        <v>3.0000000000000001E-3</v>
      </c>
      <c r="D72" s="112">
        <v>4.0000000000000001E-3</v>
      </c>
      <c r="E72" s="112">
        <v>3.0000000000000001E-3</v>
      </c>
      <c r="F72" s="112">
        <v>2E-3</v>
      </c>
      <c r="G72" s="112">
        <v>2E-3</v>
      </c>
    </row>
    <row r="73" spans="1:12" ht="15" thickBot="1" x14ac:dyDescent="0.4">
      <c r="A73" s="113" t="s">
        <v>92</v>
      </c>
      <c r="B73" s="114"/>
      <c r="C73" s="115" t="s">
        <v>850</v>
      </c>
      <c r="D73" s="115" t="s">
        <v>849</v>
      </c>
      <c r="E73" s="115" t="s">
        <v>970</v>
      </c>
      <c r="F73" s="115" t="s">
        <v>970</v>
      </c>
      <c r="G73" s="115" t="s">
        <v>850</v>
      </c>
    </row>
    <row r="74" spans="1:12" x14ac:dyDescent="0.35">
      <c r="A74" s="110" t="s">
        <v>971</v>
      </c>
      <c r="B74" s="111" t="s">
        <v>945</v>
      </c>
      <c r="C74" s="112">
        <v>0.40699999999999997</v>
      </c>
      <c r="D74" s="112">
        <v>0.38900000000000001</v>
      </c>
      <c r="E74" s="112">
        <v>0.375</v>
      </c>
      <c r="F74" s="112">
        <v>0.32500000000000001</v>
      </c>
      <c r="G74" s="112">
        <v>0.26900000000000002</v>
      </c>
    </row>
    <row r="75" spans="1:12" ht="15" thickBot="1" x14ac:dyDescent="0.4">
      <c r="A75" s="113" t="s">
        <v>92</v>
      </c>
      <c r="B75" s="114"/>
      <c r="C75" s="115" t="s">
        <v>852</v>
      </c>
      <c r="D75" s="115" t="s">
        <v>851</v>
      </c>
      <c r="E75" s="115" t="s">
        <v>848</v>
      </c>
      <c r="F75" s="115" t="s">
        <v>972</v>
      </c>
      <c r="G75" s="115" t="s">
        <v>897</v>
      </c>
    </row>
    <row r="76" spans="1:12" x14ac:dyDescent="0.35">
      <c r="A76" s="110" t="s">
        <v>973</v>
      </c>
      <c r="B76" s="111" t="s">
        <v>945</v>
      </c>
      <c r="C76" s="117" t="s">
        <v>974</v>
      </c>
      <c r="D76" s="117" t="s">
        <v>975</v>
      </c>
      <c r="E76" s="117" t="s">
        <v>976</v>
      </c>
      <c r="F76" s="117" t="s">
        <v>977</v>
      </c>
      <c r="G76" s="117" t="s">
        <v>978</v>
      </c>
    </row>
    <row r="77" spans="1:12" ht="15" thickBot="1" x14ac:dyDescent="0.4">
      <c r="A77" s="113" t="s">
        <v>92</v>
      </c>
      <c r="B77" s="114"/>
      <c r="C77" s="115" t="s">
        <v>951</v>
      </c>
      <c r="D77" s="115" t="s">
        <v>979</v>
      </c>
      <c r="E77" s="115" t="s">
        <v>980</v>
      </c>
      <c r="F77" s="115" t="s">
        <v>981</v>
      </c>
      <c r="G77" s="115" t="s">
        <v>877</v>
      </c>
    </row>
    <row r="80" spans="1:12" x14ac:dyDescent="0.35">
      <c r="A80" s="99" t="s">
        <v>982</v>
      </c>
    </row>
    <row r="82" spans="1:11" x14ac:dyDescent="0.35">
      <c r="A82" s="100" t="s">
        <v>983</v>
      </c>
    </row>
    <row r="83" spans="1:11" ht="15" thickBot="1" x14ac:dyDescent="0.4">
      <c r="A83" s="100" t="s">
        <v>835</v>
      </c>
    </row>
    <row r="84" spans="1:11" ht="15" thickBot="1" x14ac:dyDescent="0.4">
      <c r="A84" s="516"/>
      <c r="B84" s="517"/>
      <c r="C84" s="204">
        <v>2019</v>
      </c>
      <c r="D84" s="102">
        <v>2020</v>
      </c>
      <c r="E84" s="102">
        <v>2021</v>
      </c>
      <c r="F84" s="102">
        <v>2022</v>
      </c>
      <c r="G84" s="217">
        <v>2018</v>
      </c>
      <c r="H84" s="233">
        <v>2019</v>
      </c>
      <c r="I84" s="233">
        <v>2020</v>
      </c>
      <c r="J84" s="233">
        <v>2021</v>
      </c>
      <c r="K84" s="233">
        <v>2022</v>
      </c>
    </row>
    <row r="85" spans="1:11" ht="15" thickBot="1" x14ac:dyDescent="0.4">
      <c r="A85" s="550" t="s">
        <v>312</v>
      </c>
      <c r="B85" s="551"/>
      <c r="C85" s="190"/>
      <c r="D85" s="121" t="s">
        <v>319</v>
      </c>
      <c r="E85" s="121" t="s">
        <v>320</v>
      </c>
      <c r="F85" s="105" t="s">
        <v>321</v>
      </c>
      <c r="G85" s="215" t="s">
        <v>318</v>
      </c>
      <c r="H85" s="234" t="s">
        <v>319</v>
      </c>
      <c r="I85" s="234" t="s">
        <v>319</v>
      </c>
      <c r="J85" s="234" t="s">
        <v>320</v>
      </c>
      <c r="K85" s="235" t="s">
        <v>321</v>
      </c>
    </row>
    <row r="86" spans="1:11" ht="15" thickBot="1" x14ac:dyDescent="0.4">
      <c r="A86" s="520" t="s">
        <v>209</v>
      </c>
      <c r="B86" s="521"/>
      <c r="C86" s="205"/>
      <c r="D86" s="145" t="s">
        <v>210</v>
      </c>
      <c r="E86" s="145" t="s">
        <v>211</v>
      </c>
      <c r="F86" s="145" t="s">
        <v>212</v>
      </c>
      <c r="G86" s="212" t="s">
        <v>327</v>
      </c>
      <c r="H86" s="236" t="s">
        <v>328</v>
      </c>
      <c r="I86" s="236" t="s">
        <v>210</v>
      </c>
      <c r="J86" s="236" t="s">
        <v>211</v>
      </c>
      <c r="K86" s="236" t="s">
        <v>212</v>
      </c>
    </row>
    <row r="87" spans="1:11" ht="15" thickBot="1" x14ac:dyDescent="0.4">
      <c r="A87" s="514" t="s">
        <v>396</v>
      </c>
      <c r="B87" s="515"/>
      <c r="C87" s="206"/>
      <c r="D87" s="145" t="s">
        <v>397</v>
      </c>
      <c r="E87" s="145" t="s">
        <v>397</v>
      </c>
      <c r="F87" s="145" t="s">
        <v>397</v>
      </c>
      <c r="G87" s="212" t="s">
        <v>394</v>
      </c>
      <c r="H87" s="236" t="s">
        <v>394</v>
      </c>
      <c r="I87" s="236" t="s">
        <v>394</v>
      </c>
      <c r="J87" s="236" t="s">
        <v>394</v>
      </c>
      <c r="K87" s="236" t="s">
        <v>394</v>
      </c>
    </row>
    <row r="88" spans="1:11" ht="15" thickBot="1" x14ac:dyDescent="0.4">
      <c r="A88" s="486" t="s">
        <v>13</v>
      </c>
      <c r="B88" s="487"/>
      <c r="C88" s="188"/>
      <c r="D88" s="146">
        <v>59636286</v>
      </c>
      <c r="E88" s="146">
        <v>60919165</v>
      </c>
      <c r="F88" s="146">
        <v>59956247</v>
      </c>
      <c r="G88" s="212" t="s">
        <v>392</v>
      </c>
      <c r="H88" s="236" t="s">
        <v>392</v>
      </c>
      <c r="I88" s="236" t="s">
        <v>392</v>
      </c>
      <c r="J88" s="236" t="s">
        <v>392</v>
      </c>
      <c r="K88" s="236" t="s">
        <v>392</v>
      </c>
    </row>
    <row r="89" spans="1:11" ht="15" thickBot="1" x14ac:dyDescent="0.4">
      <c r="A89" s="488" t="s">
        <v>92</v>
      </c>
      <c r="B89" s="489"/>
      <c r="C89" s="189"/>
      <c r="D89" s="147" t="s">
        <v>984</v>
      </c>
      <c r="E89" s="147" t="s">
        <v>861</v>
      </c>
      <c r="F89" s="147" t="s">
        <v>872</v>
      </c>
      <c r="G89" s="212" t="s">
        <v>327</v>
      </c>
      <c r="H89" s="236" t="s">
        <v>328</v>
      </c>
      <c r="I89" s="236" t="s">
        <v>210</v>
      </c>
      <c r="J89" s="236" t="s">
        <v>211</v>
      </c>
      <c r="K89" s="236" t="s">
        <v>212</v>
      </c>
    </row>
    <row r="90" spans="1:11" ht="15" thickBot="1" x14ac:dyDescent="0.4">
      <c r="A90" s="482" t="s">
        <v>985</v>
      </c>
      <c r="B90" s="483"/>
      <c r="C90" s="186"/>
      <c r="D90" s="148" t="s">
        <v>89</v>
      </c>
      <c r="E90" s="148" t="s">
        <v>89</v>
      </c>
      <c r="F90" s="148" t="s">
        <v>89</v>
      </c>
      <c r="G90" s="212" t="s">
        <v>397</v>
      </c>
      <c r="H90" s="236" t="s">
        <v>397</v>
      </c>
      <c r="I90" s="236" t="s">
        <v>397</v>
      </c>
      <c r="J90" s="236" t="s">
        <v>397</v>
      </c>
      <c r="K90" s="236" t="s">
        <v>397</v>
      </c>
    </row>
    <row r="91" spans="1:11" ht="15" thickBot="1" x14ac:dyDescent="0.4">
      <c r="A91" s="484" t="s">
        <v>92</v>
      </c>
      <c r="B91" s="485"/>
      <c r="C91" s="187"/>
      <c r="D91" s="149" t="s">
        <v>89</v>
      </c>
      <c r="E91" s="149" t="s">
        <v>89</v>
      </c>
      <c r="F91" s="149" t="s">
        <v>89</v>
      </c>
      <c r="G91" s="212" t="s">
        <v>404</v>
      </c>
      <c r="H91" s="236" t="s">
        <v>986</v>
      </c>
      <c r="I91" s="236" t="s">
        <v>986</v>
      </c>
      <c r="J91" s="236" t="s">
        <v>399</v>
      </c>
      <c r="K91" s="236" t="s">
        <v>987</v>
      </c>
    </row>
    <row r="92" spans="1:11" ht="15" thickBot="1" x14ac:dyDescent="0.4">
      <c r="A92" s="482" t="s">
        <v>431</v>
      </c>
      <c r="B92" s="483"/>
      <c r="C92" s="186"/>
      <c r="D92" s="148">
        <v>59722908</v>
      </c>
      <c r="E92" s="148">
        <v>61012074</v>
      </c>
      <c r="F92" s="148">
        <v>60074730</v>
      </c>
      <c r="G92" s="212" t="s">
        <v>403</v>
      </c>
      <c r="H92" s="236" t="s">
        <v>403</v>
      </c>
      <c r="I92" s="236" t="s">
        <v>403</v>
      </c>
      <c r="J92" s="236" t="s">
        <v>403</v>
      </c>
      <c r="K92" s="236" t="s">
        <v>403</v>
      </c>
    </row>
    <row r="93" spans="1:11" ht="15" thickBot="1" x14ac:dyDescent="0.4">
      <c r="A93" s="484" t="s">
        <v>92</v>
      </c>
      <c r="B93" s="485"/>
      <c r="C93" s="187"/>
      <c r="D93" s="149" t="s">
        <v>984</v>
      </c>
      <c r="E93" s="149" t="s">
        <v>861</v>
      </c>
      <c r="F93" s="149" t="s">
        <v>857</v>
      </c>
      <c r="G93" s="212" t="s">
        <v>406</v>
      </c>
      <c r="H93" s="236" t="s">
        <v>406</v>
      </c>
      <c r="I93" s="236" t="s">
        <v>406</v>
      </c>
      <c r="J93" s="236" t="s">
        <v>406</v>
      </c>
      <c r="K93" s="236" t="s">
        <v>406</v>
      </c>
    </row>
    <row r="94" spans="1:11" ht="15" thickBot="1" x14ac:dyDescent="0.4">
      <c r="A94" s="482" t="s">
        <v>433</v>
      </c>
      <c r="B94" s="483"/>
      <c r="C94" s="186"/>
      <c r="D94" s="148">
        <v>-86622</v>
      </c>
      <c r="E94" s="148">
        <v>-92909</v>
      </c>
      <c r="F94" s="148">
        <v>-118483</v>
      </c>
      <c r="G94" s="212" t="s">
        <v>408</v>
      </c>
      <c r="H94" s="236" t="s">
        <v>409</v>
      </c>
      <c r="I94" s="236" t="s">
        <v>410</v>
      </c>
      <c r="J94" s="236" t="s">
        <v>411</v>
      </c>
      <c r="K94" s="236" t="s">
        <v>412</v>
      </c>
    </row>
    <row r="95" spans="1:11" ht="15" thickBot="1" x14ac:dyDescent="0.4">
      <c r="A95" s="484" t="s">
        <v>92</v>
      </c>
      <c r="B95" s="485"/>
      <c r="C95" s="187"/>
      <c r="D95" s="149" t="s">
        <v>988</v>
      </c>
      <c r="E95" s="149" t="s">
        <v>989</v>
      </c>
      <c r="F95" s="149" t="s">
        <v>990</v>
      </c>
      <c r="G95" s="212" t="s">
        <v>414</v>
      </c>
      <c r="H95" s="236" t="s">
        <v>415</v>
      </c>
      <c r="I95" s="236" t="s">
        <v>416</v>
      </c>
      <c r="J95" s="236" t="s">
        <v>417</v>
      </c>
      <c r="K95" s="236" t="s">
        <v>418</v>
      </c>
    </row>
    <row r="96" spans="1:11" ht="15" thickBot="1" x14ac:dyDescent="0.4">
      <c r="A96" s="469" t="s">
        <v>435</v>
      </c>
      <c r="B96" s="470"/>
      <c r="C96" s="183"/>
      <c r="D96" s="150" t="s">
        <v>89</v>
      </c>
      <c r="E96" s="150" t="s">
        <v>89</v>
      </c>
      <c r="F96" s="150" t="s">
        <v>89</v>
      </c>
      <c r="G96" s="212" t="s">
        <v>420</v>
      </c>
      <c r="H96" s="236" t="s">
        <v>420</v>
      </c>
      <c r="I96" s="236" t="s">
        <v>420</v>
      </c>
      <c r="J96" s="236" t="s">
        <v>420</v>
      </c>
      <c r="K96" s="236" t="s">
        <v>420</v>
      </c>
    </row>
    <row r="97" spans="1:20" ht="15" thickBot="1" x14ac:dyDescent="0.4">
      <c r="A97" s="490" t="s">
        <v>92</v>
      </c>
      <c r="B97" s="491"/>
      <c r="C97" s="185"/>
      <c r="D97" s="115" t="s">
        <v>89</v>
      </c>
      <c r="E97" s="115" t="s">
        <v>89</v>
      </c>
      <c r="F97" s="115" t="s">
        <v>89</v>
      </c>
      <c r="G97" s="212" t="s">
        <v>422</v>
      </c>
      <c r="H97" s="236" t="s">
        <v>422</v>
      </c>
      <c r="I97" s="236" t="s">
        <v>422</v>
      </c>
      <c r="J97" s="236" t="s">
        <v>422</v>
      </c>
      <c r="K97" s="236" t="s">
        <v>422</v>
      </c>
    </row>
    <row r="98" spans="1:20" ht="15" thickBot="1" x14ac:dyDescent="0.4">
      <c r="A98" s="469" t="s">
        <v>217</v>
      </c>
      <c r="B98" s="470"/>
      <c r="C98" s="183"/>
      <c r="D98" s="150">
        <v>59636286</v>
      </c>
      <c r="E98" s="150">
        <v>60919165</v>
      </c>
      <c r="F98" s="150">
        <v>59956247</v>
      </c>
      <c r="G98" s="212" t="s">
        <v>424</v>
      </c>
      <c r="H98" s="236" t="s">
        <v>424</v>
      </c>
      <c r="I98" s="236" t="s">
        <v>424</v>
      </c>
      <c r="J98" s="236" t="s">
        <v>424</v>
      </c>
      <c r="K98" s="236" t="s">
        <v>424</v>
      </c>
    </row>
    <row r="99" spans="1:20" ht="15" thickBot="1" x14ac:dyDescent="0.4">
      <c r="A99" s="490" t="s">
        <v>92</v>
      </c>
      <c r="B99" s="491"/>
      <c r="C99" s="185"/>
      <c r="D99" s="115" t="s">
        <v>984</v>
      </c>
      <c r="E99" s="115" t="s">
        <v>861</v>
      </c>
      <c r="F99" s="115" t="s">
        <v>872</v>
      </c>
      <c r="G99" s="212" t="s">
        <v>426</v>
      </c>
      <c r="H99" s="236" t="s">
        <v>426</v>
      </c>
      <c r="I99" s="236" t="s">
        <v>426</v>
      </c>
      <c r="J99" s="236" t="s">
        <v>426</v>
      </c>
      <c r="K99" s="236" t="s">
        <v>426</v>
      </c>
      <c r="Q99">
        <v>2019</v>
      </c>
      <c r="R99">
        <v>2020</v>
      </c>
      <c r="S99">
        <v>2021</v>
      </c>
      <c r="T99">
        <v>2022</v>
      </c>
    </row>
    <row r="100" spans="1:20" ht="15" thickBot="1" x14ac:dyDescent="0.4">
      <c r="A100" s="486" t="s">
        <v>131</v>
      </c>
      <c r="B100" s="487"/>
      <c r="C100" s="222">
        <f>H108</f>
        <v>29745906</v>
      </c>
      <c r="D100" s="146">
        <v>31967663</v>
      </c>
      <c r="E100" s="146">
        <v>34640863</v>
      </c>
      <c r="F100" s="146">
        <v>36059016</v>
      </c>
      <c r="G100" s="212" t="s">
        <v>428</v>
      </c>
      <c r="H100" s="236" t="s">
        <v>428</v>
      </c>
      <c r="I100" s="236" t="s">
        <v>428</v>
      </c>
      <c r="J100" s="236" t="s">
        <v>428</v>
      </c>
      <c r="K100" s="236" t="s">
        <v>428</v>
      </c>
      <c r="P100" t="s">
        <v>38</v>
      </c>
      <c r="Q100" s="222">
        <f>C100</f>
        <v>29745906</v>
      </c>
      <c r="R100" s="144">
        <f>D100</f>
        <v>31967663</v>
      </c>
      <c r="S100" s="144">
        <f t="shared" ref="S100:T100" si="0">E100</f>
        <v>34640863</v>
      </c>
      <c r="T100" s="144">
        <f t="shared" si="0"/>
        <v>36059016</v>
      </c>
    </row>
    <row r="101" spans="1:20" ht="15" thickBot="1" x14ac:dyDescent="0.4">
      <c r="A101" s="488" t="s">
        <v>92</v>
      </c>
      <c r="B101" s="489"/>
      <c r="C101" s="189"/>
      <c r="D101" s="147" t="s">
        <v>991</v>
      </c>
      <c r="E101" s="147" t="s">
        <v>950</v>
      </c>
      <c r="F101" s="147" t="s">
        <v>992</v>
      </c>
      <c r="G101" s="212"/>
      <c r="H101" s="236"/>
      <c r="I101" s="236"/>
      <c r="J101" s="236"/>
      <c r="K101" s="236"/>
    </row>
    <row r="102" spans="1:20" ht="15" thickBot="1" x14ac:dyDescent="0.4">
      <c r="A102" s="482" t="s">
        <v>219</v>
      </c>
      <c r="B102" s="483"/>
      <c r="C102" s="222">
        <f>C100</f>
        <v>29745906</v>
      </c>
      <c r="D102" s="148">
        <v>31967663</v>
      </c>
      <c r="E102" s="148">
        <v>34640863</v>
      </c>
      <c r="F102" s="148">
        <v>36059016</v>
      </c>
      <c r="G102" s="209">
        <v>52561950</v>
      </c>
      <c r="H102" s="237">
        <v>56318123</v>
      </c>
      <c r="I102" s="237">
        <v>59636286</v>
      </c>
      <c r="J102" s="237">
        <v>60919165</v>
      </c>
      <c r="K102" s="237">
        <v>59956247</v>
      </c>
    </row>
    <row r="103" spans="1:20" ht="15" thickBot="1" x14ac:dyDescent="0.4">
      <c r="A103" s="484" t="s">
        <v>92</v>
      </c>
      <c r="B103" s="485"/>
      <c r="C103" s="187"/>
      <c r="D103" s="149" t="s">
        <v>991</v>
      </c>
      <c r="E103" s="149" t="s">
        <v>950</v>
      </c>
      <c r="F103" s="149" t="s">
        <v>992</v>
      </c>
      <c r="G103" s="213" t="s">
        <v>89</v>
      </c>
      <c r="H103" s="238" t="s">
        <v>89</v>
      </c>
      <c r="I103" s="238" t="s">
        <v>89</v>
      </c>
      <c r="J103" s="238" t="s">
        <v>89</v>
      </c>
      <c r="K103" s="238" t="s">
        <v>89</v>
      </c>
    </row>
    <row r="104" spans="1:20" ht="15" thickBot="1" x14ac:dyDescent="0.4">
      <c r="A104" s="469" t="s">
        <v>221</v>
      </c>
      <c r="B104" s="470"/>
      <c r="C104" s="183"/>
      <c r="D104" s="150">
        <v>27668623</v>
      </c>
      <c r="E104" s="150">
        <v>26278301</v>
      </c>
      <c r="F104" s="150">
        <v>23897232</v>
      </c>
      <c r="G104" s="208">
        <v>52629230</v>
      </c>
      <c r="H104" s="237">
        <v>56400230</v>
      </c>
      <c r="I104" s="237">
        <v>59722908</v>
      </c>
      <c r="J104" s="237">
        <v>61012074</v>
      </c>
      <c r="K104" s="237">
        <v>60074730</v>
      </c>
      <c r="Q104">
        <f>(T100-R100)/R100</f>
        <v>0.12798411319588798</v>
      </c>
    </row>
    <row r="105" spans="1:20" ht="15" thickBot="1" x14ac:dyDescent="0.4">
      <c r="A105" s="490" t="s">
        <v>92</v>
      </c>
      <c r="B105" s="491"/>
      <c r="C105" s="185"/>
      <c r="D105" s="115" t="s">
        <v>992</v>
      </c>
      <c r="E105" s="115" t="s">
        <v>972</v>
      </c>
      <c r="F105" s="115" t="s">
        <v>993</v>
      </c>
      <c r="G105" s="208">
        <v>-67280</v>
      </c>
      <c r="H105" s="237">
        <v>-82107</v>
      </c>
      <c r="I105" s="237">
        <v>-86622</v>
      </c>
      <c r="J105" s="237">
        <v>-92909</v>
      </c>
      <c r="K105" s="237">
        <v>-118483</v>
      </c>
    </row>
    <row r="106" spans="1:20" ht="15" thickBot="1" x14ac:dyDescent="0.4">
      <c r="A106" s="509"/>
      <c r="B106" s="509"/>
      <c r="C106" s="151"/>
      <c r="D106" s="151"/>
      <c r="E106" s="151"/>
      <c r="F106" s="151"/>
      <c r="G106" s="219" t="s">
        <v>89</v>
      </c>
      <c r="H106" s="239" t="s">
        <v>89</v>
      </c>
      <c r="I106" s="239" t="s">
        <v>89</v>
      </c>
      <c r="J106" s="239" t="s">
        <v>89</v>
      </c>
      <c r="K106" s="239" t="s">
        <v>89</v>
      </c>
    </row>
    <row r="107" spans="1:20" ht="15" thickBot="1" x14ac:dyDescent="0.4">
      <c r="A107" s="486" t="s">
        <v>298</v>
      </c>
      <c r="B107" s="487"/>
      <c r="C107" s="188"/>
      <c r="D107" s="146">
        <v>14633503</v>
      </c>
      <c r="E107" s="146">
        <v>14128100</v>
      </c>
      <c r="F107" s="146">
        <v>13762792</v>
      </c>
      <c r="G107" s="221">
        <v>52561950</v>
      </c>
      <c r="H107" s="240">
        <v>56318123</v>
      </c>
      <c r="I107" s="240">
        <v>59636286</v>
      </c>
      <c r="J107" s="240">
        <v>60919165</v>
      </c>
      <c r="K107" s="240">
        <v>59956247</v>
      </c>
    </row>
    <row r="108" spans="1:20" ht="15" thickBot="1" x14ac:dyDescent="0.4">
      <c r="A108" s="488" t="s">
        <v>92</v>
      </c>
      <c r="B108" s="489"/>
      <c r="C108" s="189"/>
      <c r="D108" s="147" t="s">
        <v>994</v>
      </c>
      <c r="E108" s="147" t="s">
        <v>995</v>
      </c>
      <c r="F108" s="147" t="s">
        <v>892</v>
      </c>
      <c r="G108" s="209">
        <v>27950544</v>
      </c>
      <c r="H108" s="237">
        <f>29745906</f>
        <v>29745906</v>
      </c>
      <c r="I108" s="237">
        <v>31967663</v>
      </c>
      <c r="J108" s="237">
        <v>34640863</v>
      </c>
      <c r="K108" s="237">
        <v>36059016</v>
      </c>
    </row>
    <row r="109" spans="1:20" ht="15" thickBot="1" x14ac:dyDescent="0.4">
      <c r="A109" s="482" t="s">
        <v>288</v>
      </c>
      <c r="B109" s="483"/>
      <c r="C109" s="186"/>
      <c r="D109" s="148">
        <v>2219417</v>
      </c>
      <c r="E109" s="148">
        <v>2431649</v>
      </c>
      <c r="F109" s="148">
        <v>3104749</v>
      </c>
      <c r="G109" s="208">
        <v>27950544</v>
      </c>
      <c r="H109" s="237">
        <v>29745906</v>
      </c>
      <c r="I109" s="237">
        <v>31967663</v>
      </c>
      <c r="J109" s="237">
        <v>34640863</v>
      </c>
      <c r="K109" s="237">
        <v>36059016</v>
      </c>
    </row>
    <row r="110" spans="1:20" ht="15" thickBot="1" x14ac:dyDescent="0.4">
      <c r="A110" s="484" t="s">
        <v>92</v>
      </c>
      <c r="B110" s="485"/>
      <c r="C110" s="187"/>
      <c r="D110" s="149" t="s">
        <v>996</v>
      </c>
      <c r="E110" s="149" t="s">
        <v>962</v>
      </c>
      <c r="F110" s="149" t="s">
        <v>997</v>
      </c>
      <c r="G110" s="221">
        <v>24611406</v>
      </c>
      <c r="H110" s="240">
        <v>26572217</v>
      </c>
      <c r="I110" s="240">
        <v>27668623</v>
      </c>
      <c r="J110" s="240">
        <v>26278301</v>
      </c>
      <c r="K110" s="240">
        <v>23897232</v>
      </c>
    </row>
    <row r="111" spans="1:20" ht="15" thickBot="1" x14ac:dyDescent="0.4">
      <c r="A111" s="482" t="s">
        <v>289</v>
      </c>
      <c r="B111" s="483"/>
      <c r="C111" s="186"/>
      <c r="D111" s="148">
        <v>1205454</v>
      </c>
      <c r="E111" s="148">
        <v>1234042</v>
      </c>
      <c r="F111" s="148">
        <v>742460</v>
      </c>
      <c r="G111" s="210"/>
      <c r="H111" s="241"/>
      <c r="I111" s="241"/>
      <c r="J111" s="241"/>
      <c r="K111" s="241"/>
    </row>
    <row r="112" spans="1:20" ht="15" thickBot="1" x14ac:dyDescent="0.4">
      <c r="A112" s="484" t="s">
        <v>92</v>
      </c>
      <c r="B112" s="485"/>
      <c r="C112" s="187"/>
      <c r="D112" s="149" t="s">
        <v>998</v>
      </c>
      <c r="E112" s="149" t="s">
        <v>999</v>
      </c>
      <c r="F112" s="149" t="s">
        <v>1000</v>
      </c>
      <c r="G112" s="209">
        <v>13267325</v>
      </c>
      <c r="H112" s="237">
        <v>14265574</v>
      </c>
      <c r="I112" s="237">
        <v>14633503</v>
      </c>
      <c r="J112" s="237">
        <v>14128100</v>
      </c>
      <c r="K112" s="237">
        <v>13762792</v>
      </c>
    </row>
    <row r="113" spans="1:11" ht="15" thickBot="1" x14ac:dyDescent="0.4">
      <c r="A113" s="482" t="s">
        <v>290</v>
      </c>
      <c r="B113" s="483"/>
      <c r="C113" s="186"/>
      <c r="D113" s="148">
        <v>11208632</v>
      </c>
      <c r="E113" s="148">
        <v>10462408</v>
      </c>
      <c r="F113" s="148">
        <v>9915583</v>
      </c>
      <c r="G113" s="208">
        <v>12233367</v>
      </c>
      <c r="H113" s="237">
        <v>2113062</v>
      </c>
      <c r="I113" s="237">
        <v>2219417</v>
      </c>
      <c r="J113" s="237">
        <v>2431649</v>
      </c>
      <c r="K113" s="237">
        <v>3104749</v>
      </c>
    </row>
    <row r="114" spans="1:11" ht="15" thickBot="1" x14ac:dyDescent="0.4">
      <c r="A114" s="484" t="s">
        <v>92</v>
      </c>
      <c r="B114" s="485"/>
      <c r="C114" s="187"/>
      <c r="D114" s="149" t="s">
        <v>1001</v>
      </c>
      <c r="E114" s="149" t="s">
        <v>95</v>
      </c>
      <c r="F114" s="149" t="s">
        <v>1002</v>
      </c>
      <c r="G114" s="208">
        <v>1033958</v>
      </c>
      <c r="H114" s="237">
        <v>1256211</v>
      </c>
      <c r="I114" s="237">
        <v>1205454</v>
      </c>
      <c r="J114" s="237">
        <v>1234042</v>
      </c>
      <c r="K114" s="237">
        <v>742460</v>
      </c>
    </row>
    <row r="115" spans="1:11" ht="15" thickBot="1" x14ac:dyDescent="0.4">
      <c r="A115" s="469" t="s">
        <v>299</v>
      </c>
      <c r="B115" s="470"/>
      <c r="C115" s="183"/>
      <c r="D115" s="150" t="s">
        <v>89</v>
      </c>
      <c r="E115" s="150" t="s">
        <v>89</v>
      </c>
      <c r="F115" s="150" t="s">
        <v>89</v>
      </c>
      <c r="G115" s="213" t="s">
        <v>89</v>
      </c>
      <c r="H115" s="237">
        <v>10896301</v>
      </c>
      <c r="I115" s="237">
        <v>11208632</v>
      </c>
      <c r="J115" s="237">
        <v>10462408</v>
      </c>
      <c r="K115" s="237">
        <v>9915583</v>
      </c>
    </row>
    <row r="116" spans="1:11" ht="15" thickBot="1" x14ac:dyDescent="0.4">
      <c r="A116" s="490" t="s">
        <v>92</v>
      </c>
      <c r="B116" s="491"/>
      <c r="C116" s="185"/>
      <c r="D116" s="115" t="s">
        <v>89</v>
      </c>
      <c r="E116" s="115" t="s">
        <v>89</v>
      </c>
      <c r="F116" s="115" t="s">
        <v>89</v>
      </c>
      <c r="G116" s="219" t="s">
        <v>89</v>
      </c>
      <c r="H116" s="239" t="s">
        <v>89</v>
      </c>
      <c r="I116" s="239" t="s">
        <v>89</v>
      </c>
      <c r="J116" s="239" t="s">
        <v>89</v>
      </c>
      <c r="K116" s="239" t="s">
        <v>89</v>
      </c>
    </row>
    <row r="117" spans="1:11" ht="15" thickBot="1" x14ac:dyDescent="0.4">
      <c r="A117" s="486" t="s">
        <v>300</v>
      </c>
      <c r="B117" s="487"/>
      <c r="C117" s="188"/>
      <c r="D117" s="146">
        <v>772145</v>
      </c>
      <c r="E117" s="146">
        <v>389883</v>
      </c>
      <c r="F117" s="146">
        <v>381265</v>
      </c>
      <c r="G117" s="209">
        <v>131912</v>
      </c>
      <c r="H117" s="237">
        <v>124183</v>
      </c>
      <c r="I117" s="237">
        <v>772145</v>
      </c>
      <c r="J117" s="237">
        <v>389883</v>
      </c>
      <c r="K117" s="237">
        <v>381265</v>
      </c>
    </row>
    <row r="118" spans="1:11" ht="15" thickBot="1" x14ac:dyDescent="0.4">
      <c r="A118" s="488" t="s">
        <v>92</v>
      </c>
      <c r="B118" s="489"/>
      <c r="C118" s="189"/>
      <c r="D118" s="147" t="s">
        <v>902</v>
      </c>
      <c r="E118" s="147" t="s">
        <v>1003</v>
      </c>
      <c r="F118" s="147" t="s">
        <v>878</v>
      </c>
      <c r="G118" s="208">
        <v>131912</v>
      </c>
      <c r="H118" s="237">
        <v>124183</v>
      </c>
      <c r="I118" s="237">
        <v>163997</v>
      </c>
      <c r="J118" s="237">
        <v>144343</v>
      </c>
      <c r="K118" s="237">
        <v>135725</v>
      </c>
    </row>
    <row r="119" spans="1:11" ht="15" thickBot="1" x14ac:dyDescent="0.4">
      <c r="A119" s="482" t="s">
        <v>78</v>
      </c>
      <c r="B119" s="483"/>
      <c r="C119" s="186"/>
      <c r="D119" s="148">
        <v>163997</v>
      </c>
      <c r="E119" s="148">
        <v>144343</v>
      </c>
      <c r="F119" s="148">
        <v>135725</v>
      </c>
      <c r="G119" s="213" t="s">
        <v>89</v>
      </c>
      <c r="H119" s="238" t="s">
        <v>89</v>
      </c>
      <c r="I119" s="237">
        <v>608149</v>
      </c>
      <c r="J119" s="237">
        <v>245540</v>
      </c>
      <c r="K119" s="237">
        <v>245540</v>
      </c>
    </row>
    <row r="120" spans="1:11" ht="15" thickBot="1" x14ac:dyDescent="0.4">
      <c r="A120" s="484" t="s">
        <v>92</v>
      </c>
      <c r="B120" s="485"/>
      <c r="C120" s="187"/>
      <c r="D120" s="149" t="s">
        <v>1004</v>
      </c>
      <c r="E120" s="149" t="s">
        <v>1005</v>
      </c>
      <c r="F120" s="149" t="s">
        <v>870</v>
      </c>
      <c r="G120" s="209">
        <v>51367</v>
      </c>
      <c r="H120" s="237">
        <v>108825</v>
      </c>
      <c r="I120" s="237">
        <v>143818</v>
      </c>
      <c r="J120" s="237">
        <v>88799</v>
      </c>
      <c r="K120" s="237">
        <v>166039</v>
      </c>
    </row>
    <row r="121" spans="1:11" ht="15" thickBot="1" x14ac:dyDescent="0.4">
      <c r="A121" s="482" t="s">
        <v>301</v>
      </c>
      <c r="B121" s="483"/>
      <c r="C121" s="186"/>
      <c r="D121" s="148">
        <v>608149</v>
      </c>
      <c r="E121" s="148">
        <v>245540</v>
      </c>
      <c r="F121" s="148">
        <v>245540</v>
      </c>
      <c r="G121" s="208">
        <v>51367</v>
      </c>
      <c r="H121" s="237">
        <v>108825</v>
      </c>
      <c r="I121" s="237">
        <v>143818</v>
      </c>
      <c r="J121" s="237">
        <v>88799</v>
      </c>
      <c r="K121" s="237">
        <v>166039</v>
      </c>
    </row>
    <row r="122" spans="1:11" ht="15" thickBot="1" x14ac:dyDescent="0.4">
      <c r="A122" s="484" t="s">
        <v>92</v>
      </c>
      <c r="B122" s="485"/>
      <c r="C122" s="187"/>
      <c r="D122" s="149" t="s">
        <v>89</v>
      </c>
      <c r="E122" s="149" t="s">
        <v>1006</v>
      </c>
      <c r="F122" s="149" t="s">
        <v>850</v>
      </c>
      <c r="G122" s="209">
        <v>-696470</v>
      </c>
      <c r="H122" s="237">
        <v>-703512</v>
      </c>
      <c r="I122" s="237">
        <v>-1189070</v>
      </c>
      <c r="J122" s="237">
        <v>-1072481</v>
      </c>
      <c r="K122" s="237">
        <v>-1019342</v>
      </c>
    </row>
    <row r="123" spans="1:11" ht="15" thickBot="1" x14ac:dyDescent="0.4">
      <c r="A123" s="486" t="s">
        <v>302</v>
      </c>
      <c r="B123" s="487"/>
      <c r="C123" s="188"/>
      <c r="D123" s="146">
        <v>143818</v>
      </c>
      <c r="E123" s="146">
        <v>88799</v>
      </c>
      <c r="F123" s="146">
        <v>166039</v>
      </c>
      <c r="G123" s="208">
        <v>-665813</v>
      </c>
      <c r="H123" s="237">
        <v>-724202</v>
      </c>
      <c r="I123" s="237">
        <v>-1148536</v>
      </c>
      <c r="J123" s="237">
        <v>-1103473</v>
      </c>
      <c r="K123" s="237">
        <v>-1198975</v>
      </c>
    </row>
    <row r="124" spans="1:11" ht="15" thickBot="1" x14ac:dyDescent="0.4">
      <c r="A124" s="488" t="s">
        <v>92</v>
      </c>
      <c r="B124" s="489"/>
      <c r="C124" s="189"/>
      <c r="D124" s="147" t="s">
        <v>1007</v>
      </c>
      <c r="E124" s="147" t="s">
        <v>1008</v>
      </c>
      <c r="F124" s="147" t="s">
        <v>1009</v>
      </c>
      <c r="G124" s="208">
        <v>-30657</v>
      </c>
      <c r="H124" s="237">
        <v>20690</v>
      </c>
      <c r="I124" s="237">
        <v>-40535</v>
      </c>
      <c r="J124" s="237">
        <v>30992</v>
      </c>
      <c r="K124" s="237">
        <v>179633</v>
      </c>
    </row>
    <row r="125" spans="1:11" ht="15" thickBot="1" x14ac:dyDescent="0.4">
      <c r="A125" s="482" t="s">
        <v>303</v>
      </c>
      <c r="B125" s="483"/>
      <c r="C125" s="186"/>
      <c r="D125" s="148">
        <v>143818</v>
      </c>
      <c r="E125" s="148">
        <v>88799</v>
      </c>
      <c r="F125" s="148">
        <v>166039</v>
      </c>
      <c r="G125" s="219" t="s">
        <v>89</v>
      </c>
      <c r="H125" s="239" t="s">
        <v>89</v>
      </c>
      <c r="I125" s="239" t="s">
        <v>89</v>
      </c>
      <c r="J125" s="239" t="s">
        <v>89</v>
      </c>
      <c r="K125" s="239" t="s">
        <v>89</v>
      </c>
    </row>
    <row r="126" spans="1:11" ht="15" thickBot="1" x14ac:dyDescent="0.4">
      <c r="A126" s="484" t="s">
        <v>92</v>
      </c>
      <c r="B126" s="485"/>
      <c r="C126" s="187"/>
      <c r="D126" s="149" t="s">
        <v>1007</v>
      </c>
      <c r="E126" s="149" t="s">
        <v>1008</v>
      </c>
      <c r="F126" s="149" t="s">
        <v>1009</v>
      </c>
      <c r="G126" s="221">
        <v>-645103</v>
      </c>
      <c r="H126" s="240">
        <v>-594687</v>
      </c>
      <c r="I126" s="240">
        <v>-1045252</v>
      </c>
      <c r="J126" s="240">
        <v>-983681</v>
      </c>
      <c r="K126" s="240">
        <v>-853303</v>
      </c>
    </row>
    <row r="127" spans="1:11" ht="15" thickBot="1" x14ac:dyDescent="0.4">
      <c r="A127" s="486" t="s">
        <v>447</v>
      </c>
      <c r="B127" s="487"/>
      <c r="C127" s="188"/>
      <c r="D127" s="146">
        <v>-1189070</v>
      </c>
      <c r="E127" s="146">
        <v>-1072481</v>
      </c>
      <c r="F127" s="146">
        <v>-1019342</v>
      </c>
      <c r="G127" s="214" t="s">
        <v>89</v>
      </c>
      <c r="H127" s="238" t="s">
        <v>89</v>
      </c>
      <c r="I127" s="238" t="s">
        <v>89</v>
      </c>
      <c r="J127" s="238" t="s">
        <v>89</v>
      </c>
      <c r="K127" s="238" t="s">
        <v>89</v>
      </c>
    </row>
    <row r="128" spans="1:11" ht="15" thickBot="1" x14ac:dyDescent="0.4">
      <c r="A128" s="488" t="s">
        <v>92</v>
      </c>
      <c r="B128" s="489"/>
      <c r="C128" s="189"/>
      <c r="D128" s="147" t="s">
        <v>1010</v>
      </c>
      <c r="E128" s="147" t="s">
        <v>1011</v>
      </c>
      <c r="F128" s="147" t="s">
        <v>996</v>
      </c>
      <c r="G128" s="213" t="s">
        <v>89</v>
      </c>
      <c r="H128" s="238" t="s">
        <v>89</v>
      </c>
      <c r="I128" s="238" t="s">
        <v>89</v>
      </c>
      <c r="J128" s="238" t="s">
        <v>89</v>
      </c>
      <c r="K128" s="238" t="s">
        <v>89</v>
      </c>
    </row>
    <row r="129" spans="1:11" ht="15" thickBot="1" x14ac:dyDescent="0.4">
      <c r="A129" s="482" t="s">
        <v>449</v>
      </c>
      <c r="B129" s="483"/>
      <c r="C129" s="186"/>
      <c r="D129" s="148">
        <v>-1148536</v>
      </c>
      <c r="E129" s="148">
        <v>-1103473</v>
      </c>
      <c r="F129" s="148">
        <v>-1198975</v>
      </c>
      <c r="G129" s="209">
        <v>-19241</v>
      </c>
      <c r="H129" s="237">
        <v>-19943</v>
      </c>
      <c r="I129" s="237">
        <v>-231154</v>
      </c>
      <c r="J129" s="237">
        <v>16380</v>
      </c>
      <c r="K129" s="237">
        <v>115411</v>
      </c>
    </row>
    <row r="130" spans="1:11" ht="15" thickBot="1" x14ac:dyDescent="0.4">
      <c r="A130" s="484" t="s">
        <v>92</v>
      </c>
      <c r="B130" s="485"/>
      <c r="C130" s="187"/>
      <c r="D130" s="149" t="s">
        <v>1012</v>
      </c>
      <c r="E130" s="149" t="s">
        <v>1013</v>
      </c>
      <c r="F130" s="149" t="s">
        <v>1014</v>
      </c>
      <c r="G130" s="208">
        <v>-19241</v>
      </c>
      <c r="H130" s="237">
        <v>-19943</v>
      </c>
      <c r="I130" s="237">
        <v>-231154</v>
      </c>
      <c r="J130" s="237">
        <v>16380</v>
      </c>
      <c r="K130" s="237">
        <v>115411</v>
      </c>
    </row>
    <row r="131" spans="1:11" ht="15" thickBot="1" x14ac:dyDescent="0.4">
      <c r="A131" s="482" t="s">
        <v>451</v>
      </c>
      <c r="B131" s="483"/>
      <c r="C131" s="186"/>
      <c r="D131" s="148">
        <v>-40535</v>
      </c>
      <c r="E131" s="148">
        <v>30992</v>
      </c>
      <c r="F131" s="148">
        <v>179633</v>
      </c>
      <c r="G131" s="221">
        <v>40685437</v>
      </c>
      <c r="H131" s="240">
        <v>43521033</v>
      </c>
      <c r="I131" s="240">
        <v>46096905</v>
      </c>
      <c r="J131" s="240">
        <v>48191545</v>
      </c>
      <c r="K131" s="240">
        <v>49465182</v>
      </c>
    </row>
    <row r="132" spans="1:11" ht="15" thickBot="1" x14ac:dyDescent="0.4">
      <c r="A132" s="484" t="s">
        <v>92</v>
      </c>
      <c r="B132" s="485"/>
      <c r="C132" s="187"/>
      <c r="D132" s="149" t="s">
        <v>904</v>
      </c>
      <c r="E132" s="149" t="s">
        <v>902</v>
      </c>
      <c r="F132" s="149" t="s">
        <v>902</v>
      </c>
      <c r="G132" s="221">
        <v>11876513</v>
      </c>
      <c r="H132" s="240">
        <v>12797090</v>
      </c>
      <c r="I132" s="240">
        <v>13539381</v>
      </c>
      <c r="J132" s="240">
        <v>12727620</v>
      </c>
      <c r="K132" s="240">
        <v>10491065</v>
      </c>
    </row>
    <row r="133" spans="1:11" ht="15" thickBot="1" x14ac:dyDescent="0.4">
      <c r="A133" s="469" t="s">
        <v>453</v>
      </c>
      <c r="B133" s="470"/>
      <c r="C133" s="183"/>
      <c r="D133" s="150" t="s">
        <v>89</v>
      </c>
      <c r="E133" s="150" t="s">
        <v>89</v>
      </c>
      <c r="F133" s="150" t="s">
        <v>89</v>
      </c>
      <c r="G133" s="219" t="s">
        <v>89</v>
      </c>
      <c r="H133" s="239" t="s">
        <v>89</v>
      </c>
      <c r="I133" s="239" t="s">
        <v>89</v>
      </c>
      <c r="J133" s="239" t="s">
        <v>89</v>
      </c>
      <c r="K133" s="239" t="s">
        <v>89</v>
      </c>
    </row>
    <row r="134" spans="1:11" ht="15" thickBot="1" x14ac:dyDescent="0.4">
      <c r="A134" s="490" t="s">
        <v>92</v>
      </c>
      <c r="B134" s="491"/>
      <c r="C134" s="185"/>
      <c r="D134" s="115" t="s">
        <v>89</v>
      </c>
      <c r="E134" s="115" t="s">
        <v>89</v>
      </c>
      <c r="F134" s="115" t="s">
        <v>89</v>
      </c>
      <c r="G134" s="214" t="s">
        <v>89</v>
      </c>
      <c r="H134" s="238" t="s">
        <v>89</v>
      </c>
      <c r="I134" s="238" t="s">
        <v>89</v>
      </c>
      <c r="J134" s="238" t="s">
        <v>89</v>
      </c>
      <c r="K134" s="238" t="s">
        <v>89</v>
      </c>
    </row>
    <row r="135" spans="1:11" ht="15" thickBot="1" x14ac:dyDescent="0.4">
      <c r="A135" s="469" t="s">
        <v>455</v>
      </c>
      <c r="B135" s="470"/>
      <c r="C135" s="183"/>
      <c r="D135" s="150">
        <v>-1045252</v>
      </c>
      <c r="E135" s="150">
        <v>-983681</v>
      </c>
      <c r="F135" s="150">
        <v>-853303</v>
      </c>
      <c r="G135" s="213" t="s">
        <v>89</v>
      </c>
      <c r="H135" s="238" t="s">
        <v>89</v>
      </c>
      <c r="I135" s="238" t="s">
        <v>89</v>
      </c>
      <c r="J135" s="238" t="s">
        <v>89</v>
      </c>
      <c r="K135" s="238" t="s">
        <v>89</v>
      </c>
    </row>
    <row r="136" spans="1:11" ht="15" thickBot="1" x14ac:dyDescent="0.4">
      <c r="A136" s="490" t="s">
        <v>92</v>
      </c>
      <c r="B136" s="491"/>
      <c r="C136" s="185"/>
      <c r="D136" s="115" t="s">
        <v>1015</v>
      </c>
      <c r="E136" s="115" t="s">
        <v>984</v>
      </c>
      <c r="F136" s="115" t="s">
        <v>931</v>
      </c>
      <c r="G136" s="219" t="s">
        <v>89</v>
      </c>
      <c r="H136" s="239" t="s">
        <v>89</v>
      </c>
      <c r="I136" s="239" t="s">
        <v>89</v>
      </c>
      <c r="J136" s="239" t="s">
        <v>89</v>
      </c>
      <c r="K136" s="239" t="s">
        <v>89</v>
      </c>
    </row>
    <row r="137" spans="1:11" ht="15" thickBot="1" x14ac:dyDescent="0.4">
      <c r="A137" s="486" t="s">
        <v>457</v>
      </c>
      <c r="B137" s="487"/>
      <c r="C137" s="188"/>
      <c r="D137" s="146" t="s">
        <v>89</v>
      </c>
      <c r="E137" s="146" t="s">
        <v>89</v>
      </c>
      <c r="F137" s="146" t="s">
        <v>89</v>
      </c>
      <c r="G137" s="219" t="s">
        <v>89</v>
      </c>
      <c r="H137" s="239" t="s">
        <v>89</v>
      </c>
      <c r="I137" s="239" t="s">
        <v>89</v>
      </c>
      <c r="J137" s="239" t="s">
        <v>89</v>
      </c>
      <c r="K137" s="239" t="s">
        <v>89</v>
      </c>
    </row>
    <row r="138" spans="1:11" ht="15" thickBot="1" x14ac:dyDescent="0.4">
      <c r="A138" s="488" t="s">
        <v>92</v>
      </c>
      <c r="B138" s="489"/>
      <c r="C138" s="189"/>
      <c r="D138" s="147" t="s">
        <v>89</v>
      </c>
      <c r="E138" s="147" t="s">
        <v>89</v>
      </c>
      <c r="F138" s="147" t="s">
        <v>89</v>
      </c>
      <c r="G138" s="221">
        <v>-39690</v>
      </c>
      <c r="H138" s="240">
        <v>-42613</v>
      </c>
      <c r="I138" s="240">
        <v>-43122</v>
      </c>
      <c r="J138" s="240">
        <v>-73581</v>
      </c>
      <c r="K138" s="240">
        <v>-88325</v>
      </c>
    </row>
    <row r="139" spans="1:11" ht="15" thickBot="1" x14ac:dyDescent="0.4">
      <c r="A139" s="482" t="s">
        <v>1016</v>
      </c>
      <c r="B139" s="483"/>
      <c r="C139" s="186"/>
      <c r="D139" s="148" t="s">
        <v>89</v>
      </c>
      <c r="E139" s="148" t="s">
        <v>89</v>
      </c>
      <c r="F139" s="148" t="s">
        <v>89</v>
      </c>
      <c r="G139" s="209">
        <v>214872</v>
      </c>
      <c r="H139" s="237">
        <v>41232</v>
      </c>
      <c r="I139" s="237">
        <v>22278</v>
      </c>
      <c r="J139" s="237">
        <v>268196</v>
      </c>
      <c r="K139" s="237">
        <v>92794</v>
      </c>
    </row>
    <row r="140" spans="1:11" ht="15" thickBot="1" x14ac:dyDescent="0.4">
      <c r="A140" s="484" t="s">
        <v>92</v>
      </c>
      <c r="B140" s="485"/>
      <c r="C140" s="187"/>
      <c r="D140" s="149" t="s">
        <v>89</v>
      </c>
      <c r="E140" s="149" t="s">
        <v>89</v>
      </c>
      <c r="F140" s="149" t="s">
        <v>89</v>
      </c>
      <c r="G140" s="208">
        <v>214872</v>
      </c>
      <c r="H140" s="237">
        <v>41232</v>
      </c>
      <c r="I140" s="237">
        <v>22278</v>
      </c>
      <c r="J140" s="237">
        <v>268196</v>
      </c>
      <c r="K140" s="237">
        <v>92794</v>
      </c>
    </row>
    <row r="141" spans="1:11" ht="15" thickBot="1" x14ac:dyDescent="0.4">
      <c r="A141" s="486" t="s">
        <v>459</v>
      </c>
      <c r="B141" s="487"/>
      <c r="C141" s="188"/>
      <c r="D141" s="146">
        <v>-231154</v>
      </c>
      <c r="E141" s="146">
        <v>16380</v>
      </c>
      <c r="F141" s="146">
        <v>115411</v>
      </c>
      <c r="G141" s="221">
        <v>12051696</v>
      </c>
      <c r="H141" s="240">
        <v>12795710</v>
      </c>
      <c r="I141" s="240">
        <v>13518536</v>
      </c>
      <c r="J141" s="240">
        <v>12922235</v>
      </c>
      <c r="K141" s="240">
        <v>10495535</v>
      </c>
    </row>
    <row r="142" spans="1:11" ht="15" thickBot="1" x14ac:dyDescent="0.4">
      <c r="A142" s="488" t="s">
        <v>92</v>
      </c>
      <c r="B142" s="489"/>
      <c r="C142" s="189"/>
      <c r="D142" s="147" t="s">
        <v>904</v>
      </c>
      <c r="E142" s="147" t="s">
        <v>902</v>
      </c>
      <c r="F142" s="147" t="s">
        <v>902</v>
      </c>
      <c r="G142" s="221">
        <v>1846067</v>
      </c>
      <c r="H142" s="240">
        <v>2241378</v>
      </c>
      <c r="I142" s="240">
        <v>2282804</v>
      </c>
      <c r="J142" s="240">
        <v>2289700</v>
      </c>
      <c r="K142" s="240">
        <v>1917959</v>
      </c>
    </row>
    <row r="143" spans="1:11" ht="15" thickBot="1" x14ac:dyDescent="0.4">
      <c r="A143" s="482" t="s">
        <v>461</v>
      </c>
      <c r="B143" s="483"/>
      <c r="C143" s="186"/>
      <c r="D143" s="148">
        <v>-231154</v>
      </c>
      <c r="E143" s="148">
        <v>16380</v>
      </c>
      <c r="F143" s="148">
        <v>115411</v>
      </c>
      <c r="G143" s="221">
        <v>10205630</v>
      </c>
      <c r="H143" s="240">
        <v>10554332</v>
      </c>
      <c r="I143" s="240">
        <v>11235732</v>
      </c>
      <c r="J143" s="240">
        <v>10632536</v>
      </c>
      <c r="K143" s="240">
        <v>8577575</v>
      </c>
    </row>
    <row r="144" spans="1:11" ht="15" thickBot="1" x14ac:dyDescent="0.4">
      <c r="A144" s="484" t="s">
        <v>92</v>
      </c>
      <c r="B144" s="485"/>
      <c r="C144" s="187"/>
      <c r="D144" s="149" t="s">
        <v>904</v>
      </c>
      <c r="E144" s="149" t="s">
        <v>902</v>
      </c>
      <c r="F144" s="149" t="s">
        <v>902</v>
      </c>
      <c r="G144" s="221">
        <v>21651</v>
      </c>
      <c r="H144" s="240">
        <v>26844</v>
      </c>
      <c r="I144" s="240">
        <v>-136795</v>
      </c>
      <c r="J144" s="240">
        <v>-100059</v>
      </c>
      <c r="K144" s="240">
        <v>-61552</v>
      </c>
    </row>
    <row r="145" spans="1:11" ht="15" thickBot="1" x14ac:dyDescent="0.4">
      <c r="A145" s="469" t="s">
        <v>463</v>
      </c>
      <c r="B145" s="470"/>
      <c r="C145" s="183"/>
      <c r="D145" s="150">
        <v>46096905</v>
      </c>
      <c r="E145" s="150">
        <v>48191545</v>
      </c>
      <c r="F145" s="150">
        <v>49465182</v>
      </c>
      <c r="G145" s="219" t="s">
        <v>89</v>
      </c>
      <c r="H145" s="239" t="s">
        <v>89</v>
      </c>
      <c r="I145" s="239" t="s">
        <v>89</v>
      </c>
      <c r="J145" s="239" t="s">
        <v>89</v>
      </c>
      <c r="K145" s="239" t="s">
        <v>89</v>
      </c>
    </row>
    <row r="146" spans="1:11" ht="15" thickBot="1" x14ac:dyDescent="0.4">
      <c r="A146" s="490" t="s">
        <v>92</v>
      </c>
      <c r="B146" s="491"/>
      <c r="C146" s="185"/>
      <c r="D146" s="115" t="s">
        <v>984</v>
      </c>
      <c r="E146" s="115" t="s">
        <v>1017</v>
      </c>
      <c r="F146" s="115" t="s">
        <v>994</v>
      </c>
      <c r="G146" s="219" t="s">
        <v>89</v>
      </c>
      <c r="H146" s="239" t="s">
        <v>89</v>
      </c>
      <c r="I146" s="239" t="s">
        <v>89</v>
      </c>
      <c r="J146" s="239" t="s">
        <v>89</v>
      </c>
      <c r="K146" s="239" t="s">
        <v>89</v>
      </c>
    </row>
    <row r="147" spans="1:11" ht="15" thickBot="1" x14ac:dyDescent="0.4">
      <c r="A147" s="469" t="s">
        <v>465</v>
      </c>
      <c r="B147" s="470"/>
      <c r="C147" s="183"/>
      <c r="D147" s="150">
        <v>13539381</v>
      </c>
      <c r="E147" s="150">
        <v>12727620</v>
      </c>
      <c r="F147" s="150">
        <v>10491065</v>
      </c>
      <c r="G147" s="221">
        <v>10227281</v>
      </c>
      <c r="H147" s="240">
        <v>10581176</v>
      </c>
      <c r="I147" s="240">
        <v>11098937</v>
      </c>
      <c r="J147" s="240">
        <v>10532477</v>
      </c>
      <c r="K147" s="240">
        <v>8516024</v>
      </c>
    </row>
    <row r="148" spans="1:11" ht="15" thickBot="1" x14ac:dyDescent="0.4">
      <c r="A148" s="490" t="s">
        <v>92</v>
      </c>
      <c r="B148" s="491"/>
      <c r="C148" s="185"/>
      <c r="D148" s="115" t="s">
        <v>1018</v>
      </c>
      <c r="E148" s="115" t="s">
        <v>870</v>
      </c>
      <c r="F148" s="115" t="s">
        <v>1019</v>
      </c>
      <c r="G148" s="210"/>
      <c r="H148" s="241"/>
      <c r="I148" s="241"/>
      <c r="J148" s="241"/>
      <c r="K148" s="241"/>
    </row>
    <row r="149" spans="1:11" ht="15" thickBot="1" x14ac:dyDescent="0.4">
      <c r="A149" s="469" t="s">
        <v>467</v>
      </c>
      <c r="B149" s="470"/>
      <c r="C149" s="183"/>
      <c r="D149" s="150" t="s">
        <v>89</v>
      </c>
      <c r="E149" s="150" t="s">
        <v>89</v>
      </c>
      <c r="F149" s="150" t="s">
        <v>89</v>
      </c>
      <c r="G149" s="219" t="s">
        <v>89</v>
      </c>
      <c r="H149" s="239" t="s">
        <v>89</v>
      </c>
      <c r="I149" s="239" t="s">
        <v>89</v>
      </c>
      <c r="J149" s="239" t="s">
        <v>89</v>
      </c>
      <c r="K149" s="239" t="s">
        <v>89</v>
      </c>
    </row>
    <row r="150" spans="1:11" ht="15" thickBot="1" x14ac:dyDescent="0.4">
      <c r="A150" s="490" t="s">
        <v>92</v>
      </c>
      <c r="B150" s="491"/>
      <c r="C150" s="185"/>
      <c r="D150" s="115" t="s">
        <v>89</v>
      </c>
      <c r="E150" s="115" t="s">
        <v>89</v>
      </c>
      <c r="F150" s="115" t="s">
        <v>89</v>
      </c>
      <c r="G150" s="219" t="s">
        <v>89</v>
      </c>
      <c r="H150" s="239" t="s">
        <v>89</v>
      </c>
      <c r="I150" s="239" t="s">
        <v>89</v>
      </c>
      <c r="J150" s="239" t="s">
        <v>89</v>
      </c>
      <c r="K150" s="239" t="s">
        <v>89</v>
      </c>
    </row>
    <row r="151" spans="1:11" ht="15" thickBot="1" x14ac:dyDescent="0.4">
      <c r="A151" s="486" t="s">
        <v>469</v>
      </c>
      <c r="B151" s="487"/>
      <c r="C151" s="188"/>
      <c r="D151" s="146" t="s">
        <v>89</v>
      </c>
      <c r="E151" s="146" t="s">
        <v>89</v>
      </c>
      <c r="F151" s="146" t="s">
        <v>89</v>
      </c>
      <c r="G151" s="219" t="s">
        <v>89</v>
      </c>
      <c r="H151" s="239" t="s">
        <v>89</v>
      </c>
      <c r="I151" s="239" t="s">
        <v>89</v>
      </c>
      <c r="J151" s="239" t="s">
        <v>89</v>
      </c>
      <c r="K151" s="239" t="s">
        <v>89</v>
      </c>
    </row>
    <row r="152" spans="1:11" ht="15" thickBot="1" x14ac:dyDescent="0.4">
      <c r="A152" s="488" t="s">
        <v>92</v>
      </c>
      <c r="B152" s="489"/>
      <c r="C152" s="189"/>
      <c r="D152" s="147" t="s">
        <v>89</v>
      </c>
      <c r="E152" s="147" t="s">
        <v>89</v>
      </c>
      <c r="F152" s="147" t="s">
        <v>89</v>
      </c>
      <c r="G152" s="219" t="s">
        <v>89</v>
      </c>
      <c r="H152" s="239" t="s">
        <v>89</v>
      </c>
      <c r="I152" s="239" t="s">
        <v>89</v>
      </c>
      <c r="J152" s="239" t="s">
        <v>89</v>
      </c>
      <c r="K152" s="239" t="s">
        <v>89</v>
      </c>
    </row>
    <row r="153" spans="1:11" ht="15" thickBot="1" x14ac:dyDescent="0.4">
      <c r="A153" s="482" t="s">
        <v>1020</v>
      </c>
      <c r="B153" s="483"/>
      <c r="C153" s="186"/>
      <c r="D153" s="148" t="s">
        <v>89</v>
      </c>
      <c r="E153" s="148" t="s">
        <v>89</v>
      </c>
      <c r="F153" s="148" t="s">
        <v>89</v>
      </c>
      <c r="G153" s="219" t="s">
        <v>89</v>
      </c>
      <c r="H153" s="239" t="s">
        <v>89</v>
      </c>
      <c r="I153" s="239" t="s">
        <v>89</v>
      </c>
      <c r="J153" s="239" t="s">
        <v>89</v>
      </c>
      <c r="K153" s="239" t="s">
        <v>89</v>
      </c>
    </row>
    <row r="154" spans="1:11" ht="15" thickBot="1" x14ac:dyDescent="0.4">
      <c r="A154" s="484" t="s">
        <v>92</v>
      </c>
      <c r="B154" s="485"/>
      <c r="C154" s="187"/>
      <c r="D154" s="149" t="s">
        <v>89</v>
      </c>
      <c r="E154" s="149" t="s">
        <v>89</v>
      </c>
      <c r="F154" s="149" t="s">
        <v>89</v>
      </c>
      <c r="G154" s="221">
        <v>10227281</v>
      </c>
      <c r="H154" s="240">
        <v>10581176</v>
      </c>
      <c r="I154" s="240">
        <v>11098937</v>
      </c>
      <c r="J154" s="240">
        <v>10532477</v>
      </c>
      <c r="K154" s="240">
        <v>8516024</v>
      </c>
    </row>
    <row r="155" spans="1:11" ht="15" thickBot="1" x14ac:dyDescent="0.4">
      <c r="A155" s="469" t="s">
        <v>471</v>
      </c>
      <c r="B155" s="470"/>
      <c r="C155" s="183"/>
      <c r="D155" s="150" t="s">
        <v>89</v>
      </c>
      <c r="E155" s="150" t="s">
        <v>89</v>
      </c>
      <c r="F155" s="150" t="s">
        <v>89</v>
      </c>
      <c r="G155" s="210"/>
      <c r="H155" s="241"/>
      <c r="I155" s="241"/>
      <c r="J155" s="241"/>
      <c r="K155" s="241"/>
    </row>
    <row r="156" spans="1:11" ht="15" thickBot="1" x14ac:dyDescent="0.4">
      <c r="A156" s="490" t="s">
        <v>92</v>
      </c>
      <c r="B156" s="491"/>
      <c r="C156" s="185"/>
      <c r="D156" s="115" t="s">
        <v>89</v>
      </c>
      <c r="E156" s="115" t="s">
        <v>89</v>
      </c>
      <c r="F156" s="115" t="s">
        <v>89</v>
      </c>
      <c r="G156" s="219" t="s">
        <v>89</v>
      </c>
      <c r="H156" s="239" t="s">
        <v>89</v>
      </c>
      <c r="I156" s="239" t="s">
        <v>89</v>
      </c>
      <c r="J156" s="239" t="s">
        <v>89</v>
      </c>
      <c r="K156" s="239" t="s">
        <v>89</v>
      </c>
    </row>
    <row r="157" spans="1:11" ht="15" thickBot="1" x14ac:dyDescent="0.4">
      <c r="A157" s="469" t="s">
        <v>473</v>
      </c>
      <c r="B157" s="470"/>
      <c r="C157" s="183"/>
      <c r="D157" s="150" t="s">
        <v>89</v>
      </c>
      <c r="E157" s="150" t="s">
        <v>89</v>
      </c>
      <c r="F157" s="150" t="s">
        <v>89</v>
      </c>
      <c r="G157" s="219" t="s">
        <v>89</v>
      </c>
      <c r="H157" s="239" t="s">
        <v>89</v>
      </c>
      <c r="I157" s="239" t="s">
        <v>89</v>
      </c>
      <c r="J157" s="239" t="s">
        <v>89</v>
      </c>
      <c r="K157" s="239" t="s">
        <v>89</v>
      </c>
    </row>
    <row r="158" spans="1:11" ht="15" thickBot="1" x14ac:dyDescent="0.4">
      <c r="A158" s="490" t="s">
        <v>92</v>
      </c>
      <c r="B158" s="491"/>
      <c r="C158" s="185"/>
      <c r="D158" s="115" t="s">
        <v>89</v>
      </c>
      <c r="E158" s="115" t="s">
        <v>89</v>
      </c>
      <c r="F158" s="115" t="s">
        <v>89</v>
      </c>
      <c r="G158" s="221">
        <v>-1006694</v>
      </c>
      <c r="H158" s="240">
        <v>-1042687</v>
      </c>
      <c r="I158" s="240">
        <v>-1131165</v>
      </c>
      <c r="J158" s="240">
        <v>-1092037</v>
      </c>
      <c r="K158" s="240">
        <v>-924627</v>
      </c>
    </row>
    <row r="159" spans="1:11" ht="15" thickBot="1" x14ac:dyDescent="0.4">
      <c r="A159" s="469" t="s">
        <v>475</v>
      </c>
      <c r="B159" s="470"/>
      <c r="C159" s="183"/>
      <c r="D159" s="150">
        <v>-43122</v>
      </c>
      <c r="E159" s="150">
        <v>-73581</v>
      </c>
      <c r="F159" s="150">
        <v>-88325</v>
      </c>
      <c r="G159" s="219" t="s">
        <v>89</v>
      </c>
      <c r="H159" s="239" t="s">
        <v>89</v>
      </c>
      <c r="I159" s="239" t="s">
        <v>89</v>
      </c>
      <c r="J159" s="239" t="s">
        <v>89</v>
      </c>
      <c r="K159" s="239" t="s">
        <v>89</v>
      </c>
    </row>
    <row r="160" spans="1:11" ht="15" thickBot="1" x14ac:dyDescent="0.4">
      <c r="A160" s="490" t="s">
        <v>92</v>
      </c>
      <c r="B160" s="491"/>
      <c r="C160" s="185"/>
      <c r="D160" s="115" t="s">
        <v>980</v>
      </c>
      <c r="E160" s="115" t="s">
        <v>1021</v>
      </c>
      <c r="F160" s="115" t="s">
        <v>1022</v>
      </c>
      <c r="G160" s="219" t="s">
        <v>89</v>
      </c>
      <c r="H160" s="239" t="s">
        <v>89</v>
      </c>
      <c r="I160" s="239" t="s">
        <v>89</v>
      </c>
      <c r="J160" s="239" t="s">
        <v>89</v>
      </c>
      <c r="K160" s="239" t="s">
        <v>89</v>
      </c>
    </row>
    <row r="161" spans="1:11" ht="15" thickBot="1" x14ac:dyDescent="0.4">
      <c r="A161" s="486" t="s">
        <v>461</v>
      </c>
      <c r="B161" s="487"/>
      <c r="C161" s="188"/>
      <c r="D161" s="146">
        <v>22278</v>
      </c>
      <c r="E161" s="146">
        <v>268196</v>
      </c>
      <c r="F161" s="146">
        <v>92794</v>
      </c>
      <c r="G161" s="221">
        <v>-1006694</v>
      </c>
      <c r="H161" s="240">
        <v>-1042687</v>
      </c>
      <c r="I161" s="240">
        <v>-1131165</v>
      </c>
      <c r="J161" s="240">
        <v>-1092037</v>
      </c>
      <c r="K161" s="240">
        <v>-924627</v>
      </c>
    </row>
    <row r="162" spans="1:11" ht="15" thickBot="1" x14ac:dyDescent="0.4">
      <c r="A162" s="488" t="s">
        <v>92</v>
      </c>
      <c r="B162" s="489"/>
      <c r="C162" s="189"/>
      <c r="D162" s="147" t="s">
        <v>1023</v>
      </c>
      <c r="E162" s="147" t="s">
        <v>902</v>
      </c>
      <c r="F162" s="147" t="s">
        <v>1024</v>
      </c>
      <c r="G162" s="221">
        <v>9220587</v>
      </c>
      <c r="H162" s="240">
        <v>9538488</v>
      </c>
      <c r="I162" s="240">
        <v>9967771</v>
      </c>
      <c r="J162" s="240">
        <v>9440440</v>
      </c>
      <c r="K162" s="240">
        <v>7591396</v>
      </c>
    </row>
    <row r="163" spans="1:11" ht="15" thickBot="1" x14ac:dyDescent="0.4">
      <c r="A163" s="482" t="s">
        <v>478</v>
      </c>
      <c r="B163" s="483"/>
      <c r="C163" s="186"/>
      <c r="D163" s="148">
        <v>22278</v>
      </c>
      <c r="E163" s="148">
        <v>268196</v>
      </c>
      <c r="F163" s="148">
        <v>92794</v>
      </c>
      <c r="G163" s="221">
        <v>9220587</v>
      </c>
      <c r="H163" s="240">
        <v>9538488</v>
      </c>
      <c r="I163" s="240">
        <v>9967771</v>
      </c>
      <c r="J163" s="240">
        <v>9440440</v>
      </c>
      <c r="K163" s="240">
        <v>7591396</v>
      </c>
    </row>
    <row r="164" spans="1:11" ht="15" thickBot="1" x14ac:dyDescent="0.4">
      <c r="A164" s="484" t="s">
        <v>92</v>
      </c>
      <c r="B164" s="485"/>
      <c r="C164" s="187"/>
      <c r="D164" s="149" t="s">
        <v>1023</v>
      </c>
      <c r="E164" s="149" t="s">
        <v>902</v>
      </c>
      <c r="F164" s="149" t="s">
        <v>1024</v>
      </c>
      <c r="G164" s="221">
        <v>2090</v>
      </c>
      <c r="H164" s="240">
        <v>2090</v>
      </c>
      <c r="I164" s="240">
        <v>2090</v>
      </c>
      <c r="J164" s="240">
        <v>2090</v>
      </c>
      <c r="K164" s="240">
        <v>2090</v>
      </c>
    </row>
    <row r="165" spans="1:11" ht="15" thickBot="1" x14ac:dyDescent="0.4">
      <c r="A165" s="469" t="s">
        <v>480</v>
      </c>
      <c r="B165" s="470"/>
      <c r="C165" s="183"/>
      <c r="D165" s="150">
        <v>13518536</v>
      </c>
      <c r="E165" s="150">
        <v>12922235</v>
      </c>
      <c r="F165" s="150">
        <v>10495535</v>
      </c>
      <c r="G165" s="211">
        <v>4412.2299999999996</v>
      </c>
      <c r="H165" s="242">
        <v>4564.57</v>
      </c>
      <c r="I165" s="242">
        <v>4770.0600000000004</v>
      </c>
      <c r="J165" s="242">
        <v>4517.1099999999997</v>
      </c>
      <c r="K165" s="242">
        <v>3632.37</v>
      </c>
    </row>
    <row r="166" spans="1:11" ht="15" thickBot="1" x14ac:dyDescent="0.4">
      <c r="A166" s="490" t="s">
        <v>92</v>
      </c>
      <c r="B166" s="491"/>
      <c r="C166" s="185"/>
      <c r="D166" s="115" t="s">
        <v>1025</v>
      </c>
      <c r="E166" s="115" t="s">
        <v>1026</v>
      </c>
      <c r="F166" s="115" t="s">
        <v>1027</v>
      </c>
      <c r="G166" s="211">
        <v>4412.2299999999996</v>
      </c>
      <c r="H166" s="242">
        <v>4564.57</v>
      </c>
      <c r="I166" s="242">
        <v>4770.0600000000004</v>
      </c>
      <c r="J166" s="242">
        <v>4517.1099999999997</v>
      </c>
      <c r="K166" s="242">
        <v>3632.37</v>
      </c>
    </row>
    <row r="167" spans="1:11" ht="15" thickBot="1" x14ac:dyDescent="0.4">
      <c r="A167" s="469" t="s">
        <v>482</v>
      </c>
      <c r="B167" s="470"/>
      <c r="C167" s="183"/>
      <c r="D167" s="150">
        <v>2282804</v>
      </c>
      <c r="E167" s="150">
        <v>2289700</v>
      </c>
      <c r="F167" s="150">
        <v>1917959</v>
      </c>
      <c r="G167" s="219" t="s">
        <v>89</v>
      </c>
      <c r="H167" s="239" t="s">
        <v>89</v>
      </c>
      <c r="I167" s="239" t="s">
        <v>89</v>
      </c>
      <c r="J167" s="239" t="s">
        <v>89</v>
      </c>
      <c r="K167" s="239" t="s">
        <v>89</v>
      </c>
    </row>
    <row r="168" spans="1:11" ht="15" thickBot="1" x14ac:dyDescent="0.4">
      <c r="A168" s="490" t="s">
        <v>92</v>
      </c>
      <c r="B168" s="491"/>
      <c r="C168" s="185"/>
      <c r="D168" s="115" t="s">
        <v>1028</v>
      </c>
      <c r="E168" s="115" t="s">
        <v>1029</v>
      </c>
      <c r="F168" s="115" t="s">
        <v>1030</v>
      </c>
      <c r="G168" s="221">
        <v>9220587</v>
      </c>
      <c r="H168" s="240">
        <v>9538488</v>
      </c>
      <c r="I168" s="240">
        <v>9967771</v>
      </c>
      <c r="J168" s="240">
        <v>9440440</v>
      </c>
      <c r="K168" s="240">
        <v>7591396</v>
      </c>
    </row>
    <row r="169" spans="1:11" ht="15" thickBot="1" x14ac:dyDescent="0.4">
      <c r="A169" s="469" t="s">
        <v>484</v>
      </c>
      <c r="B169" s="470"/>
      <c r="C169" s="183"/>
      <c r="D169" s="150">
        <v>11235732</v>
      </c>
      <c r="E169" s="150">
        <v>10632536</v>
      </c>
      <c r="F169" s="150">
        <v>8577575</v>
      </c>
      <c r="G169" s="221">
        <v>2090</v>
      </c>
      <c r="H169" s="240">
        <v>2090</v>
      </c>
      <c r="I169" s="240">
        <v>2090</v>
      </c>
      <c r="J169" s="240">
        <v>2090</v>
      </c>
      <c r="K169" s="240">
        <v>2090</v>
      </c>
    </row>
    <row r="170" spans="1:11" ht="15" thickBot="1" x14ac:dyDescent="0.4">
      <c r="A170" s="490" t="s">
        <v>92</v>
      </c>
      <c r="B170" s="491"/>
      <c r="C170" s="185"/>
      <c r="D170" s="115" t="s">
        <v>1031</v>
      </c>
      <c r="E170" s="115" t="s">
        <v>1032</v>
      </c>
      <c r="F170" s="115" t="s">
        <v>1033</v>
      </c>
      <c r="G170" s="211">
        <v>4412.2299999999996</v>
      </c>
      <c r="H170" s="242">
        <v>4564.57</v>
      </c>
      <c r="I170" s="242">
        <v>4770.0600000000004</v>
      </c>
      <c r="J170" s="242">
        <v>4517.1099999999997</v>
      </c>
      <c r="K170" s="242">
        <v>3632.37</v>
      </c>
    </row>
    <row r="171" spans="1:11" x14ac:dyDescent="0.35">
      <c r="A171" s="469" t="s">
        <v>485</v>
      </c>
      <c r="B171" s="470"/>
      <c r="C171" s="183"/>
      <c r="D171" s="150">
        <v>-136795</v>
      </c>
      <c r="E171" s="150">
        <v>-100059</v>
      </c>
      <c r="F171" s="150">
        <v>-61552</v>
      </c>
      <c r="G171" s="211">
        <v>4412.2299999999996</v>
      </c>
      <c r="H171" s="242">
        <v>4564.57</v>
      </c>
      <c r="I171" s="242">
        <v>4770.0600000000004</v>
      </c>
      <c r="J171" s="242">
        <v>4517.1099999999997</v>
      </c>
      <c r="K171" s="242">
        <v>3632.37</v>
      </c>
    </row>
    <row r="172" spans="1:11" ht="15" thickBot="1" x14ac:dyDescent="0.4">
      <c r="A172" s="490" t="s">
        <v>92</v>
      </c>
      <c r="B172" s="491"/>
      <c r="C172" s="185"/>
      <c r="D172" s="115" t="s">
        <v>904</v>
      </c>
      <c r="E172" s="115" t="s">
        <v>1034</v>
      </c>
      <c r="F172" s="115" t="s">
        <v>1035</v>
      </c>
      <c r="G172" s="220"/>
      <c r="H172" s="243"/>
      <c r="I172" s="243"/>
      <c r="J172" s="243"/>
      <c r="K172" s="243"/>
    </row>
    <row r="173" spans="1:11" ht="15" thickBot="1" x14ac:dyDescent="0.4">
      <c r="A173" s="469" t="s">
        <v>487</v>
      </c>
      <c r="B173" s="470"/>
      <c r="C173" s="183"/>
      <c r="D173" s="150" t="s">
        <v>89</v>
      </c>
      <c r="E173" s="150" t="s">
        <v>89</v>
      </c>
      <c r="F173" s="150" t="s">
        <v>89</v>
      </c>
      <c r="G173" s="211">
        <v>3298.6</v>
      </c>
      <c r="H173" s="242">
        <v>3562.49</v>
      </c>
      <c r="I173" s="242">
        <v>3578.33</v>
      </c>
      <c r="J173" s="242">
        <v>3657.5</v>
      </c>
      <c r="K173" s="242">
        <v>3657.5</v>
      </c>
    </row>
    <row r="174" spans="1:11" ht="15" thickBot="1" x14ac:dyDescent="0.4">
      <c r="A174" s="490" t="s">
        <v>92</v>
      </c>
      <c r="B174" s="491"/>
      <c r="C174" s="185"/>
      <c r="D174" s="115" t="s">
        <v>89</v>
      </c>
      <c r="E174" s="115" t="s">
        <v>89</v>
      </c>
      <c r="F174" s="115" t="s">
        <v>89</v>
      </c>
      <c r="G174" s="219" t="s">
        <v>89</v>
      </c>
      <c r="H174" s="239" t="s">
        <v>89</v>
      </c>
      <c r="I174" s="239" t="s">
        <v>89</v>
      </c>
      <c r="J174" s="239" t="s">
        <v>89</v>
      </c>
      <c r="K174" s="239" t="s">
        <v>89</v>
      </c>
    </row>
    <row r="175" spans="1:11" ht="15" thickBot="1" x14ac:dyDescent="0.4">
      <c r="A175" s="469" t="s">
        <v>488</v>
      </c>
      <c r="B175" s="470"/>
      <c r="C175" s="183"/>
      <c r="D175" s="150" t="s">
        <v>89</v>
      </c>
      <c r="E175" s="150" t="s">
        <v>89</v>
      </c>
      <c r="F175" s="150" t="s">
        <v>89</v>
      </c>
      <c r="G175" s="219" t="s">
        <v>89</v>
      </c>
      <c r="H175" s="239" t="s">
        <v>89</v>
      </c>
      <c r="I175" s="239" t="s">
        <v>89</v>
      </c>
      <c r="J175" s="239" t="s">
        <v>89</v>
      </c>
      <c r="K175" s="239" t="s">
        <v>89</v>
      </c>
    </row>
    <row r="176" spans="1:11" ht="15" thickBot="1" x14ac:dyDescent="0.4">
      <c r="A176" s="490" t="s">
        <v>92</v>
      </c>
      <c r="B176" s="491"/>
      <c r="C176" s="185"/>
      <c r="D176" s="115" t="s">
        <v>89</v>
      </c>
      <c r="E176" s="115" t="s">
        <v>89</v>
      </c>
      <c r="F176" s="115" t="s">
        <v>89</v>
      </c>
      <c r="G176" s="219" t="s">
        <v>89</v>
      </c>
      <c r="H176" s="239" t="s">
        <v>89</v>
      </c>
      <c r="I176" s="239" t="s">
        <v>89</v>
      </c>
      <c r="J176" s="239" t="s">
        <v>89</v>
      </c>
      <c r="K176" s="239" t="s">
        <v>89</v>
      </c>
    </row>
    <row r="177" spans="1:11" ht="15" thickBot="1" x14ac:dyDescent="0.4">
      <c r="A177" s="469" t="s">
        <v>490</v>
      </c>
      <c r="B177" s="470"/>
      <c r="C177" s="183"/>
      <c r="D177" s="150">
        <v>11098937</v>
      </c>
      <c r="E177" s="150">
        <v>10532477</v>
      </c>
      <c r="F177" s="150">
        <v>8516024</v>
      </c>
      <c r="G177" s="219" t="s">
        <v>89</v>
      </c>
      <c r="H177" s="239" t="s">
        <v>89</v>
      </c>
      <c r="I177" s="239" t="s">
        <v>89</v>
      </c>
      <c r="J177" s="239" t="s">
        <v>89</v>
      </c>
      <c r="K177" s="239" t="s">
        <v>89</v>
      </c>
    </row>
    <row r="178" spans="1:11" ht="15" thickBot="1" x14ac:dyDescent="0.4">
      <c r="A178" s="490" t="s">
        <v>92</v>
      </c>
      <c r="B178" s="491"/>
      <c r="C178" s="185"/>
      <c r="D178" s="115" t="s">
        <v>1036</v>
      </c>
      <c r="E178" s="115" t="s">
        <v>896</v>
      </c>
      <c r="F178" s="115" t="s">
        <v>1037</v>
      </c>
      <c r="G178" s="219" t="s">
        <v>89</v>
      </c>
      <c r="H178" s="239" t="s">
        <v>89</v>
      </c>
      <c r="I178" s="239" t="s">
        <v>89</v>
      </c>
      <c r="J178" s="239" t="s">
        <v>89</v>
      </c>
      <c r="K178" s="239" t="s">
        <v>89</v>
      </c>
    </row>
    <row r="179" spans="1:11" ht="15" thickBot="1" x14ac:dyDescent="0.4">
      <c r="A179" s="509"/>
      <c r="B179" s="509"/>
      <c r="C179" s="151"/>
      <c r="D179" s="151"/>
      <c r="E179" s="151"/>
      <c r="F179" s="151"/>
      <c r="G179" s="219" t="s">
        <v>89</v>
      </c>
      <c r="H179" s="239" t="s">
        <v>89</v>
      </c>
      <c r="I179" s="239" t="s">
        <v>89</v>
      </c>
      <c r="J179" s="239" t="s">
        <v>89</v>
      </c>
      <c r="K179" s="239" t="s">
        <v>89</v>
      </c>
    </row>
    <row r="180" spans="1:11" ht="15" thickBot="1" x14ac:dyDescent="0.4">
      <c r="A180" s="469" t="s">
        <v>493</v>
      </c>
      <c r="B180" s="470"/>
      <c r="C180" s="183"/>
      <c r="D180" s="150" t="s">
        <v>89</v>
      </c>
      <c r="E180" s="150" t="s">
        <v>89</v>
      </c>
      <c r="F180" s="150" t="s">
        <v>89</v>
      </c>
      <c r="G180" s="219" t="s">
        <v>89</v>
      </c>
      <c r="H180" s="239" t="s">
        <v>89</v>
      </c>
      <c r="I180" s="239" t="s">
        <v>89</v>
      </c>
      <c r="J180" s="239" t="s">
        <v>89</v>
      </c>
      <c r="K180" s="239" t="s">
        <v>89</v>
      </c>
    </row>
    <row r="181" spans="1:11" ht="15" thickBot="1" x14ac:dyDescent="0.4">
      <c r="A181" s="490" t="s">
        <v>92</v>
      </c>
      <c r="B181" s="491"/>
      <c r="C181" s="185"/>
      <c r="D181" s="115" t="s">
        <v>89</v>
      </c>
      <c r="E181" s="115" t="s">
        <v>89</v>
      </c>
      <c r="F181" s="115" t="s">
        <v>89</v>
      </c>
      <c r="G181" s="221">
        <v>6821000</v>
      </c>
      <c r="H181" s="240">
        <v>7836221</v>
      </c>
      <c r="I181" s="240">
        <v>6094822</v>
      </c>
      <c r="J181" s="240">
        <v>7523561</v>
      </c>
      <c r="K181" s="240">
        <v>10972266</v>
      </c>
    </row>
    <row r="182" spans="1:11" ht="15" thickBot="1" x14ac:dyDescent="0.4">
      <c r="A182" s="469" t="s">
        <v>494</v>
      </c>
      <c r="B182" s="470"/>
      <c r="C182" s="183"/>
      <c r="D182" s="150" t="s">
        <v>89</v>
      </c>
      <c r="E182" s="150" t="s">
        <v>89</v>
      </c>
      <c r="F182" s="150" t="s">
        <v>89</v>
      </c>
      <c r="G182" s="219" t="s">
        <v>89</v>
      </c>
      <c r="H182" s="239" t="s">
        <v>89</v>
      </c>
      <c r="I182" s="239" t="s">
        <v>89</v>
      </c>
      <c r="J182" s="239" t="s">
        <v>89</v>
      </c>
      <c r="K182" s="239" t="s">
        <v>89</v>
      </c>
    </row>
    <row r="183" spans="1:11" ht="15" thickBot="1" x14ac:dyDescent="0.4">
      <c r="A183" s="490" t="s">
        <v>92</v>
      </c>
      <c r="B183" s="491"/>
      <c r="C183" s="185"/>
      <c r="D183" s="115" t="s">
        <v>89</v>
      </c>
      <c r="E183" s="115" t="s">
        <v>89</v>
      </c>
      <c r="F183" s="115" t="s">
        <v>89</v>
      </c>
      <c r="G183" s="219" t="s">
        <v>89</v>
      </c>
      <c r="H183" s="239" t="s">
        <v>89</v>
      </c>
      <c r="I183" s="239" t="s">
        <v>89</v>
      </c>
      <c r="J183" s="239" t="s">
        <v>89</v>
      </c>
      <c r="K183" s="239" t="s">
        <v>89</v>
      </c>
    </row>
    <row r="184" spans="1:11" ht="15" thickBot="1" x14ac:dyDescent="0.4">
      <c r="A184" s="469" t="s">
        <v>496</v>
      </c>
      <c r="B184" s="470"/>
      <c r="C184" s="183"/>
      <c r="D184" s="150" t="s">
        <v>89</v>
      </c>
      <c r="E184" s="150" t="s">
        <v>89</v>
      </c>
      <c r="F184" s="150" t="s">
        <v>89</v>
      </c>
      <c r="G184" s="219" t="s">
        <v>89</v>
      </c>
      <c r="H184" s="239" t="s">
        <v>89</v>
      </c>
      <c r="I184" s="239" t="s">
        <v>89</v>
      </c>
      <c r="J184" s="239" t="s">
        <v>89</v>
      </c>
      <c r="K184" s="239" t="s">
        <v>89</v>
      </c>
    </row>
    <row r="185" spans="1:11" ht="15" thickBot="1" x14ac:dyDescent="0.4">
      <c r="A185" s="490" t="s">
        <v>92</v>
      </c>
      <c r="B185" s="491"/>
      <c r="C185" s="185"/>
      <c r="D185" s="115" t="s">
        <v>89</v>
      </c>
      <c r="E185" s="115" t="s">
        <v>89</v>
      </c>
      <c r="F185" s="115" t="s">
        <v>89</v>
      </c>
      <c r="G185" s="219" t="s">
        <v>89</v>
      </c>
      <c r="H185" s="239" t="s">
        <v>89</v>
      </c>
      <c r="I185" s="239" t="s">
        <v>89</v>
      </c>
      <c r="J185" s="239" t="s">
        <v>89</v>
      </c>
      <c r="K185" s="239" t="s">
        <v>89</v>
      </c>
    </row>
    <row r="186" spans="1:11" ht="15" thickBot="1" x14ac:dyDescent="0.4">
      <c r="A186" s="469" t="s">
        <v>498</v>
      </c>
      <c r="B186" s="470"/>
      <c r="C186" s="183"/>
      <c r="D186" s="150" t="s">
        <v>89</v>
      </c>
      <c r="E186" s="150" t="s">
        <v>89</v>
      </c>
      <c r="F186" s="150" t="s">
        <v>89</v>
      </c>
      <c r="G186" s="219" t="s">
        <v>89</v>
      </c>
      <c r="H186" s="239" t="s">
        <v>89</v>
      </c>
      <c r="I186" s="239" t="s">
        <v>89</v>
      </c>
      <c r="J186" s="239" t="s">
        <v>89</v>
      </c>
      <c r="K186" s="239" t="s">
        <v>89</v>
      </c>
    </row>
    <row r="187" spans="1:11" ht="15" thickBot="1" x14ac:dyDescent="0.4">
      <c r="A187" s="490" t="s">
        <v>92</v>
      </c>
      <c r="B187" s="491"/>
      <c r="C187" s="185"/>
      <c r="D187" s="115" t="s">
        <v>89</v>
      </c>
      <c r="E187" s="115" t="s">
        <v>89</v>
      </c>
      <c r="F187" s="115" t="s">
        <v>89</v>
      </c>
      <c r="G187" s="219" t="s">
        <v>89</v>
      </c>
      <c r="H187" s="239" t="s">
        <v>89</v>
      </c>
      <c r="I187" s="239" t="s">
        <v>89</v>
      </c>
      <c r="J187" s="239" t="s">
        <v>89</v>
      </c>
      <c r="K187" s="239" t="s">
        <v>89</v>
      </c>
    </row>
    <row r="188" spans="1:11" ht="15" thickBot="1" x14ac:dyDescent="0.4">
      <c r="A188" s="469" t="s">
        <v>500</v>
      </c>
      <c r="B188" s="470"/>
      <c r="C188" s="183"/>
      <c r="D188" s="150" t="s">
        <v>89</v>
      </c>
      <c r="E188" s="150" t="s">
        <v>89</v>
      </c>
      <c r="F188" s="150" t="s">
        <v>89</v>
      </c>
      <c r="G188" s="219" t="s">
        <v>89</v>
      </c>
      <c r="H188" s="239" t="s">
        <v>89</v>
      </c>
      <c r="I188" s="239" t="s">
        <v>89</v>
      </c>
      <c r="J188" s="239" t="s">
        <v>89</v>
      </c>
      <c r="K188" s="239" t="s">
        <v>89</v>
      </c>
    </row>
    <row r="189" spans="1:11" ht="15" thickBot="1" x14ac:dyDescent="0.4">
      <c r="A189" s="490" t="s">
        <v>92</v>
      </c>
      <c r="B189" s="491"/>
      <c r="C189" s="185"/>
      <c r="D189" s="115" t="s">
        <v>89</v>
      </c>
      <c r="E189" s="115" t="s">
        <v>89</v>
      </c>
      <c r="F189" s="115" t="s">
        <v>89</v>
      </c>
      <c r="G189" s="219" t="s">
        <v>89</v>
      </c>
      <c r="H189" s="239" t="s">
        <v>89</v>
      </c>
      <c r="I189" s="239" t="s">
        <v>89</v>
      </c>
      <c r="J189" s="239" t="s">
        <v>89</v>
      </c>
      <c r="K189" s="239" t="s">
        <v>89</v>
      </c>
    </row>
    <row r="190" spans="1:11" ht="15" thickBot="1" x14ac:dyDescent="0.4">
      <c r="A190" s="469" t="s">
        <v>502</v>
      </c>
      <c r="B190" s="470"/>
      <c r="C190" s="183"/>
      <c r="D190" s="150">
        <v>11098937</v>
      </c>
      <c r="E190" s="150">
        <v>10532477</v>
      </c>
      <c r="F190" s="150">
        <v>8516024</v>
      </c>
      <c r="G190" s="219" t="s">
        <v>89</v>
      </c>
      <c r="H190" s="239" t="s">
        <v>89</v>
      </c>
      <c r="I190" s="239" t="s">
        <v>89</v>
      </c>
      <c r="J190" s="239" t="s">
        <v>89</v>
      </c>
      <c r="K190" s="239" t="s">
        <v>89</v>
      </c>
    </row>
    <row r="191" spans="1:11" ht="15" thickBot="1" x14ac:dyDescent="0.4">
      <c r="A191" s="490" t="s">
        <v>92</v>
      </c>
      <c r="B191" s="491"/>
      <c r="C191" s="185"/>
      <c r="D191" s="115" t="s">
        <v>1036</v>
      </c>
      <c r="E191" s="115" t="s">
        <v>896</v>
      </c>
      <c r="F191" s="115" t="s">
        <v>1037</v>
      </c>
      <c r="G191" s="219" t="s">
        <v>89</v>
      </c>
      <c r="H191" s="239" t="s">
        <v>89</v>
      </c>
      <c r="I191" s="239" t="s">
        <v>89</v>
      </c>
      <c r="J191" s="239" t="s">
        <v>89</v>
      </c>
      <c r="K191" s="239" t="s">
        <v>89</v>
      </c>
    </row>
    <row r="192" spans="1:11" ht="15" thickBot="1" x14ac:dyDescent="0.4">
      <c r="A192" s="509"/>
      <c r="B192" s="509"/>
      <c r="C192" s="151"/>
      <c r="D192" s="151"/>
      <c r="E192" s="151"/>
      <c r="F192" s="151"/>
      <c r="G192" s="219" t="s">
        <v>89</v>
      </c>
      <c r="H192" s="239" t="s">
        <v>89</v>
      </c>
      <c r="I192" s="239" t="s">
        <v>89</v>
      </c>
      <c r="J192" s="239" t="s">
        <v>89</v>
      </c>
      <c r="K192" s="239" t="s">
        <v>89</v>
      </c>
    </row>
    <row r="193" spans="1:11" ht="15" thickBot="1" x14ac:dyDescent="0.4">
      <c r="A193" s="469" t="s">
        <v>505</v>
      </c>
      <c r="B193" s="470"/>
      <c r="C193" s="183"/>
      <c r="D193" s="150" t="s">
        <v>89</v>
      </c>
      <c r="E193" s="150" t="s">
        <v>89</v>
      </c>
      <c r="F193" s="150" t="s">
        <v>89</v>
      </c>
      <c r="G193" s="219" t="s">
        <v>89</v>
      </c>
      <c r="H193" s="239" t="s">
        <v>89</v>
      </c>
      <c r="I193" s="239" t="s">
        <v>89</v>
      </c>
      <c r="J193" s="239" t="s">
        <v>89</v>
      </c>
      <c r="K193" s="239" t="s">
        <v>89</v>
      </c>
    </row>
    <row r="194" spans="1:11" ht="15" thickBot="1" x14ac:dyDescent="0.4">
      <c r="A194" s="490" t="s">
        <v>92</v>
      </c>
      <c r="B194" s="491"/>
      <c r="C194" s="185"/>
      <c r="D194" s="115" t="s">
        <v>89</v>
      </c>
      <c r="E194" s="115" t="s">
        <v>89</v>
      </c>
      <c r="F194" s="115" t="s">
        <v>89</v>
      </c>
      <c r="G194" s="221">
        <v>96611</v>
      </c>
      <c r="H194" s="240">
        <v>110565</v>
      </c>
      <c r="I194" s="240">
        <v>651271</v>
      </c>
      <c r="J194" s="240">
        <v>319121</v>
      </c>
      <c r="K194" s="240">
        <v>333865</v>
      </c>
    </row>
    <row r="195" spans="1:11" ht="15" thickBot="1" x14ac:dyDescent="0.4">
      <c r="A195" s="469" t="s">
        <v>506</v>
      </c>
      <c r="B195" s="470"/>
      <c r="C195" s="183"/>
      <c r="D195" s="150" t="s">
        <v>89</v>
      </c>
      <c r="E195" s="150" t="s">
        <v>89</v>
      </c>
      <c r="F195" s="150" t="s">
        <v>89</v>
      </c>
      <c r="G195" s="221">
        <v>12148307</v>
      </c>
      <c r="H195" s="240">
        <v>12906275</v>
      </c>
      <c r="I195" s="240">
        <v>14169807</v>
      </c>
      <c r="J195" s="240">
        <v>13241356</v>
      </c>
      <c r="K195" s="240">
        <v>10829399</v>
      </c>
    </row>
    <row r="196" spans="1:11" ht="15" thickBot="1" x14ac:dyDescent="0.4">
      <c r="A196" s="490" t="s">
        <v>92</v>
      </c>
      <c r="B196" s="491"/>
      <c r="C196" s="185"/>
      <c r="D196" s="115" t="s">
        <v>89</v>
      </c>
      <c r="E196" s="115" t="s">
        <v>89</v>
      </c>
      <c r="F196" s="115" t="s">
        <v>89</v>
      </c>
      <c r="G196" s="221">
        <v>6080</v>
      </c>
      <c r="H196" s="240">
        <v>7464</v>
      </c>
      <c r="I196" s="240">
        <v>7282</v>
      </c>
      <c r="J196" s="240">
        <v>13038</v>
      </c>
      <c r="K196" s="240">
        <v>16140</v>
      </c>
    </row>
    <row r="197" spans="1:11" ht="15" thickBot="1" x14ac:dyDescent="0.4">
      <c r="A197" s="469" t="s">
        <v>508</v>
      </c>
      <c r="B197" s="470"/>
      <c r="C197" s="183"/>
      <c r="D197" s="150">
        <v>-1131165</v>
      </c>
      <c r="E197" s="150">
        <v>-1092037</v>
      </c>
      <c r="F197" s="150">
        <v>-924627</v>
      </c>
      <c r="G197" s="221">
        <v>1852146</v>
      </c>
      <c r="H197" s="240">
        <v>2248842</v>
      </c>
      <c r="I197" s="240">
        <v>2290086</v>
      </c>
      <c r="J197" s="240">
        <v>2302737</v>
      </c>
      <c r="K197" s="240">
        <v>1934100</v>
      </c>
    </row>
    <row r="198" spans="1:11" ht="15" thickBot="1" x14ac:dyDescent="0.4">
      <c r="A198" s="490" t="s">
        <v>92</v>
      </c>
      <c r="B198" s="491"/>
      <c r="C198" s="185"/>
      <c r="D198" s="115" t="s">
        <v>1038</v>
      </c>
      <c r="E198" s="115" t="s">
        <v>1039</v>
      </c>
      <c r="F198" s="115" t="s">
        <v>1040</v>
      </c>
      <c r="G198" s="221">
        <v>10296161</v>
      </c>
      <c r="H198" s="240">
        <v>10657432</v>
      </c>
      <c r="I198" s="240">
        <v>11879721</v>
      </c>
      <c r="J198" s="240">
        <v>10938619</v>
      </c>
      <c r="K198" s="240">
        <v>8895300</v>
      </c>
    </row>
    <row r="199" spans="1:11" ht="15" thickBot="1" x14ac:dyDescent="0.4">
      <c r="A199" s="469" t="s">
        <v>510</v>
      </c>
      <c r="B199" s="470"/>
      <c r="C199" s="183"/>
      <c r="D199" s="150" t="s">
        <v>89</v>
      </c>
      <c r="E199" s="150" t="s">
        <v>89</v>
      </c>
      <c r="F199" s="150" t="s">
        <v>89</v>
      </c>
      <c r="G199" s="221">
        <v>9311119</v>
      </c>
      <c r="H199" s="240">
        <v>9641589</v>
      </c>
      <c r="I199" s="240">
        <v>10611761</v>
      </c>
      <c r="J199" s="240">
        <v>9746523</v>
      </c>
      <c r="K199" s="240">
        <v>7909121</v>
      </c>
    </row>
    <row r="200" spans="1:11" ht="15" thickBot="1" x14ac:dyDescent="0.4">
      <c r="A200" s="490" t="s">
        <v>92</v>
      </c>
      <c r="B200" s="491"/>
      <c r="C200" s="185"/>
      <c r="D200" s="115" t="s">
        <v>89</v>
      </c>
      <c r="E200" s="115" t="s">
        <v>89</v>
      </c>
      <c r="F200" s="115" t="s">
        <v>89</v>
      </c>
      <c r="G200" s="211">
        <v>4455.55</v>
      </c>
      <c r="H200" s="242">
        <v>4613.91</v>
      </c>
      <c r="I200" s="242">
        <v>5078.24</v>
      </c>
      <c r="J200" s="242">
        <v>4663.5600000000004</v>
      </c>
      <c r="K200" s="242">
        <v>3784.39</v>
      </c>
    </row>
    <row r="201" spans="1:11" ht="15" thickBot="1" x14ac:dyDescent="0.4">
      <c r="A201" s="469" t="s">
        <v>511</v>
      </c>
      <c r="B201" s="470"/>
      <c r="C201" s="183"/>
      <c r="D201" s="150" t="s">
        <v>89</v>
      </c>
      <c r="E201" s="150" t="s">
        <v>89</v>
      </c>
      <c r="F201" s="150" t="s">
        <v>89</v>
      </c>
      <c r="G201" s="211">
        <v>4455.55</v>
      </c>
      <c r="H201" s="242">
        <v>4613.91</v>
      </c>
      <c r="I201" s="242">
        <v>5078.24</v>
      </c>
      <c r="J201" s="242">
        <v>4663.5600000000004</v>
      </c>
      <c r="K201" s="242">
        <v>3784.39</v>
      </c>
    </row>
    <row r="202" spans="1:11" ht="15" thickBot="1" x14ac:dyDescent="0.4">
      <c r="A202" s="490" t="s">
        <v>92</v>
      </c>
      <c r="B202" s="491"/>
      <c r="C202" s="185"/>
      <c r="D202" s="115" t="s">
        <v>89</v>
      </c>
      <c r="E202" s="115" t="s">
        <v>89</v>
      </c>
      <c r="F202" s="115" t="s">
        <v>89</v>
      </c>
      <c r="G202" s="219" t="s">
        <v>89</v>
      </c>
      <c r="H202" s="239" t="s">
        <v>89</v>
      </c>
      <c r="I202" s="239" t="s">
        <v>89</v>
      </c>
      <c r="J202" s="239" t="s">
        <v>89</v>
      </c>
      <c r="K202" s="239" t="s">
        <v>89</v>
      </c>
    </row>
    <row r="203" spans="1:11" ht="15" thickBot="1" x14ac:dyDescent="0.4">
      <c r="A203" s="469" t="s">
        <v>513</v>
      </c>
      <c r="B203" s="470"/>
      <c r="C203" s="183"/>
      <c r="D203" s="150">
        <v>-1131165</v>
      </c>
      <c r="E203" s="150">
        <v>-1092037</v>
      </c>
      <c r="F203" s="150">
        <v>-924627</v>
      </c>
      <c r="G203" s="219" t="s">
        <v>89</v>
      </c>
      <c r="H203" s="239" t="s">
        <v>89</v>
      </c>
      <c r="I203" s="239" t="s">
        <v>89</v>
      </c>
      <c r="J203" s="239" t="s">
        <v>89</v>
      </c>
      <c r="K203" s="239" t="s">
        <v>89</v>
      </c>
    </row>
    <row r="204" spans="1:11" ht="15" thickBot="1" x14ac:dyDescent="0.4">
      <c r="A204" s="490" t="s">
        <v>92</v>
      </c>
      <c r="B204" s="491"/>
      <c r="C204" s="185"/>
      <c r="D204" s="115" t="s">
        <v>1038</v>
      </c>
      <c r="E204" s="115" t="s">
        <v>1039</v>
      </c>
      <c r="F204" s="115" t="s">
        <v>1040</v>
      </c>
      <c r="G204" s="221">
        <v>56922</v>
      </c>
      <c r="H204" s="240">
        <v>67952</v>
      </c>
      <c r="I204" s="240">
        <v>608149</v>
      </c>
      <c r="J204" s="240">
        <v>245540</v>
      </c>
      <c r="K204" s="240">
        <v>245540</v>
      </c>
    </row>
    <row r="205" spans="1:11" ht="15" thickBot="1" x14ac:dyDescent="0.4">
      <c r="A205" s="469" t="s">
        <v>515</v>
      </c>
      <c r="B205" s="470"/>
      <c r="C205" s="183"/>
      <c r="D205" s="150">
        <v>9967771</v>
      </c>
      <c r="E205" s="150">
        <v>9440440</v>
      </c>
      <c r="F205" s="150">
        <v>7591396</v>
      </c>
      <c r="G205" s="221">
        <v>15948</v>
      </c>
      <c r="H205" s="240">
        <v>21398</v>
      </c>
      <c r="I205" s="240">
        <v>183586</v>
      </c>
      <c r="J205" s="240">
        <v>53177</v>
      </c>
      <c r="K205" s="240">
        <v>54120</v>
      </c>
    </row>
    <row r="206" spans="1:11" ht="15" thickBot="1" x14ac:dyDescent="0.4">
      <c r="A206" s="490" t="s">
        <v>92</v>
      </c>
      <c r="B206" s="491"/>
      <c r="C206" s="185"/>
      <c r="D206" s="115" t="s">
        <v>1017</v>
      </c>
      <c r="E206" s="115" t="s">
        <v>1041</v>
      </c>
      <c r="F206" s="115" t="s">
        <v>1042</v>
      </c>
      <c r="G206" s="219" t="s">
        <v>89</v>
      </c>
      <c r="H206" s="239" t="s">
        <v>89</v>
      </c>
      <c r="I206" s="239" t="s">
        <v>89</v>
      </c>
      <c r="J206" s="239" t="s">
        <v>89</v>
      </c>
      <c r="K206" s="239" t="s">
        <v>89</v>
      </c>
    </row>
    <row r="207" spans="1:11" ht="15" thickBot="1" x14ac:dyDescent="0.4">
      <c r="A207" s="469" t="s">
        <v>516</v>
      </c>
      <c r="B207" s="470"/>
      <c r="C207" s="183"/>
      <c r="D207" s="150">
        <v>9967771</v>
      </c>
      <c r="E207" s="150">
        <v>9440440</v>
      </c>
      <c r="F207" s="150">
        <v>7591396</v>
      </c>
      <c r="G207" s="221">
        <v>1604335</v>
      </c>
      <c r="H207" s="240">
        <v>1923064</v>
      </c>
      <c r="I207" s="240">
        <v>2151705</v>
      </c>
      <c r="J207" s="240">
        <v>2064538</v>
      </c>
      <c r="K207" s="240">
        <v>2038874</v>
      </c>
    </row>
    <row r="208" spans="1:11" ht="15" thickBot="1" x14ac:dyDescent="0.4">
      <c r="A208" s="490" t="s">
        <v>92</v>
      </c>
      <c r="B208" s="491"/>
      <c r="C208" s="185"/>
      <c r="D208" s="115" t="s">
        <v>1017</v>
      </c>
      <c r="E208" s="115" t="s">
        <v>1041</v>
      </c>
      <c r="F208" s="115" t="s">
        <v>1042</v>
      </c>
      <c r="G208" s="219" t="s">
        <v>89</v>
      </c>
      <c r="H208" s="239" t="s">
        <v>89</v>
      </c>
      <c r="I208" s="239" t="s">
        <v>89</v>
      </c>
      <c r="J208" s="239" t="s">
        <v>89</v>
      </c>
      <c r="K208" s="239" t="s">
        <v>89</v>
      </c>
    </row>
    <row r="209" spans="1:11" ht="15" thickBot="1" x14ac:dyDescent="0.4">
      <c r="A209" s="469" t="s">
        <v>518</v>
      </c>
      <c r="B209" s="470"/>
      <c r="C209" s="183"/>
      <c r="D209" s="150">
        <v>2090</v>
      </c>
      <c r="E209" s="150">
        <v>2090</v>
      </c>
      <c r="F209" s="150">
        <v>2090</v>
      </c>
      <c r="G209" s="221">
        <v>51367</v>
      </c>
      <c r="H209" s="240">
        <v>108825</v>
      </c>
      <c r="I209" s="240">
        <v>143818</v>
      </c>
      <c r="J209" s="240">
        <v>88799</v>
      </c>
      <c r="K209" s="240">
        <v>166039</v>
      </c>
    </row>
    <row r="210" spans="1:11" ht="15" thickBot="1" x14ac:dyDescent="0.4">
      <c r="A210" s="490" t="s">
        <v>92</v>
      </c>
      <c r="B210" s="491"/>
      <c r="C210" s="185"/>
      <c r="D210" s="115" t="s">
        <v>965</v>
      </c>
      <c r="E210" s="115" t="s">
        <v>850</v>
      </c>
      <c r="F210" s="115" t="s">
        <v>850</v>
      </c>
      <c r="G210" s="219" t="s">
        <v>89</v>
      </c>
      <c r="H210" s="239" t="s">
        <v>89</v>
      </c>
      <c r="I210" s="239" t="s">
        <v>89</v>
      </c>
      <c r="J210" s="239" t="s">
        <v>89</v>
      </c>
      <c r="K210" s="239" t="s">
        <v>89</v>
      </c>
    </row>
    <row r="211" spans="1:11" ht="15" thickBot="1" x14ac:dyDescent="0.4">
      <c r="A211" s="469" t="s">
        <v>520</v>
      </c>
      <c r="B211" s="470"/>
      <c r="C211" s="183"/>
      <c r="D211" s="152">
        <v>4770.0600000000004</v>
      </c>
      <c r="E211" s="152">
        <v>4517.1099999999997</v>
      </c>
      <c r="F211" s="152">
        <v>3632.37</v>
      </c>
      <c r="G211" s="219" t="s">
        <v>89</v>
      </c>
      <c r="H211" s="239" t="s">
        <v>89</v>
      </c>
      <c r="I211" s="239" t="s">
        <v>89</v>
      </c>
      <c r="J211" s="239" t="s">
        <v>89</v>
      </c>
      <c r="K211" s="239" t="s">
        <v>89</v>
      </c>
    </row>
    <row r="212" spans="1:11" ht="15" thickBot="1" x14ac:dyDescent="0.4">
      <c r="A212" s="490" t="s">
        <v>92</v>
      </c>
      <c r="B212" s="491"/>
      <c r="C212" s="185"/>
      <c r="D212" s="115" t="s">
        <v>1017</v>
      </c>
      <c r="E212" s="115" t="s">
        <v>1041</v>
      </c>
      <c r="F212" s="115" t="s">
        <v>1042</v>
      </c>
      <c r="G212" s="219" t="s">
        <v>89</v>
      </c>
      <c r="H212" s="239" t="s">
        <v>89</v>
      </c>
      <c r="I212" s="239" t="s">
        <v>89</v>
      </c>
      <c r="J212" s="239" t="s">
        <v>89</v>
      </c>
      <c r="K212" s="239" t="s">
        <v>89</v>
      </c>
    </row>
    <row r="213" spans="1:11" ht="15" thickBot="1" x14ac:dyDescent="0.4">
      <c r="A213" s="469" t="s">
        <v>522</v>
      </c>
      <c r="B213" s="470"/>
      <c r="C213" s="183"/>
      <c r="D213" s="152">
        <v>4770.0600000000004</v>
      </c>
      <c r="E213" s="152">
        <v>4517.1099999999997</v>
      </c>
      <c r="F213" s="152">
        <v>3632.37</v>
      </c>
      <c r="G213" s="219" t="s">
        <v>89</v>
      </c>
      <c r="H213" s="239" t="s">
        <v>89</v>
      </c>
      <c r="I213" s="239" t="s">
        <v>89</v>
      </c>
      <c r="J213" s="239" t="s">
        <v>89</v>
      </c>
      <c r="K213" s="239" t="s">
        <v>89</v>
      </c>
    </row>
    <row r="214" spans="1:11" ht="15" thickBot="1" x14ac:dyDescent="0.4">
      <c r="A214" s="490" t="s">
        <v>92</v>
      </c>
      <c r="B214" s="491"/>
      <c r="C214" s="185"/>
      <c r="D214" s="115" t="s">
        <v>1017</v>
      </c>
      <c r="E214" s="115" t="s">
        <v>1041</v>
      </c>
      <c r="F214" s="115" t="s">
        <v>1042</v>
      </c>
      <c r="G214" s="219" t="s">
        <v>89</v>
      </c>
      <c r="H214" s="239" t="s">
        <v>89</v>
      </c>
      <c r="I214" s="239" t="s">
        <v>89</v>
      </c>
      <c r="J214" s="239" t="s">
        <v>89</v>
      </c>
      <c r="K214" s="239" t="s">
        <v>89</v>
      </c>
    </row>
    <row r="215" spans="1:11" ht="15" thickBot="1" x14ac:dyDescent="0.4">
      <c r="A215" s="469" t="s">
        <v>524</v>
      </c>
      <c r="B215" s="470"/>
      <c r="C215" s="183"/>
      <c r="D215" s="150" t="s">
        <v>89</v>
      </c>
      <c r="E215" s="150" t="s">
        <v>89</v>
      </c>
      <c r="F215" s="150" t="s">
        <v>89</v>
      </c>
      <c r="G215" s="221">
        <v>1033958</v>
      </c>
      <c r="H215" s="240">
        <v>1256211</v>
      </c>
      <c r="I215" s="240">
        <v>1205454</v>
      </c>
      <c r="J215" s="240">
        <v>1234042</v>
      </c>
      <c r="K215" s="240">
        <v>742460</v>
      </c>
    </row>
    <row r="216" spans="1:11" ht="15" thickBot="1" x14ac:dyDescent="0.4">
      <c r="A216" s="490" t="s">
        <v>92</v>
      </c>
      <c r="B216" s="491"/>
      <c r="C216" s="185"/>
      <c r="D216" s="115" t="s">
        <v>89</v>
      </c>
      <c r="E216" s="115" t="s">
        <v>89</v>
      </c>
      <c r="F216" s="115" t="s">
        <v>89</v>
      </c>
      <c r="G216" s="219" t="s">
        <v>89</v>
      </c>
      <c r="H216" s="239" t="s">
        <v>89</v>
      </c>
      <c r="I216" s="239" t="s">
        <v>89</v>
      </c>
      <c r="J216" s="239" t="s">
        <v>89</v>
      </c>
      <c r="K216" s="239" t="s">
        <v>89</v>
      </c>
    </row>
    <row r="217" spans="1:11" ht="15" thickBot="1" x14ac:dyDescent="0.4">
      <c r="A217" s="469" t="s">
        <v>525</v>
      </c>
      <c r="B217" s="470"/>
      <c r="C217" s="183"/>
      <c r="D217" s="150">
        <v>9967771</v>
      </c>
      <c r="E217" s="150">
        <v>9440440</v>
      </c>
      <c r="F217" s="150">
        <v>7591396</v>
      </c>
      <c r="G217" s="219" t="s">
        <v>89</v>
      </c>
      <c r="H217" s="239" t="s">
        <v>89</v>
      </c>
      <c r="I217" s="239" t="s">
        <v>89</v>
      </c>
      <c r="J217" s="239" t="s">
        <v>89</v>
      </c>
      <c r="K217" s="239" t="s">
        <v>89</v>
      </c>
    </row>
    <row r="218" spans="1:11" ht="15" thickBot="1" x14ac:dyDescent="0.4">
      <c r="A218" s="490" t="s">
        <v>92</v>
      </c>
      <c r="B218" s="491"/>
      <c r="C218" s="185"/>
      <c r="D218" s="115" t="s">
        <v>1017</v>
      </c>
      <c r="E218" s="115" t="s">
        <v>1041</v>
      </c>
      <c r="F218" s="115" t="s">
        <v>1042</v>
      </c>
      <c r="G218" s="219" t="s">
        <v>89</v>
      </c>
      <c r="H218" s="239" t="s">
        <v>89</v>
      </c>
      <c r="I218" s="239" t="s">
        <v>89</v>
      </c>
      <c r="J218" s="239" t="s">
        <v>89</v>
      </c>
      <c r="K218" s="239" t="s">
        <v>89</v>
      </c>
    </row>
    <row r="219" spans="1:11" ht="15" thickBot="1" x14ac:dyDescent="0.4">
      <c r="A219" s="469" t="s">
        <v>527</v>
      </c>
      <c r="B219" s="470"/>
      <c r="C219" s="183"/>
      <c r="D219" s="150">
        <v>2090</v>
      </c>
      <c r="E219" s="150">
        <v>2090</v>
      </c>
      <c r="F219" s="150">
        <v>2090</v>
      </c>
      <c r="G219" s="219" t="s">
        <v>89</v>
      </c>
      <c r="H219" s="239" t="s">
        <v>89</v>
      </c>
      <c r="I219" s="239" t="s">
        <v>89</v>
      </c>
      <c r="J219" s="239" t="s">
        <v>89</v>
      </c>
      <c r="K219" s="239" t="s">
        <v>89</v>
      </c>
    </row>
    <row r="220" spans="1:11" ht="15" thickBot="1" x14ac:dyDescent="0.4">
      <c r="A220" s="490" t="s">
        <v>92</v>
      </c>
      <c r="B220" s="491"/>
      <c r="C220" s="185"/>
      <c r="D220" s="115" t="s">
        <v>965</v>
      </c>
      <c r="E220" s="115" t="s">
        <v>850</v>
      </c>
      <c r="F220" s="115" t="s">
        <v>850</v>
      </c>
      <c r="G220" s="219" t="s">
        <v>89</v>
      </c>
      <c r="H220" s="239" t="s">
        <v>89</v>
      </c>
      <c r="I220" s="239" t="s">
        <v>89</v>
      </c>
      <c r="J220" s="239" t="s">
        <v>89</v>
      </c>
      <c r="K220" s="239" t="s">
        <v>89</v>
      </c>
    </row>
    <row r="221" spans="1:11" ht="15" thickBot="1" x14ac:dyDescent="0.4">
      <c r="A221" s="469" t="s">
        <v>529</v>
      </c>
      <c r="B221" s="470"/>
      <c r="C221" s="183"/>
      <c r="D221" s="152">
        <v>4770.0600000000004</v>
      </c>
      <c r="E221" s="152">
        <v>4517.1099999999997</v>
      </c>
      <c r="F221" s="152">
        <v>3632.37</v>
      </c>
      <c r="G221" s="219" t="s">
        <v>89</v>
      </c>
      <c r="H221" s="239" t="s">
        <v>89</v>
      </c>
      <c r="I221" s="239" t="s">
        <v>89</v>
      </c>
      <c r="J221" s="239" t="s">
        <v>89</v>
      </c>
      <c r="K221" s="239" t="s">
        <v>89</v>
      </c>
    </row>
    <row r="222" spans="1:11" ht="15" thickBot="1" x14ac:dyDescent="0.4">
      <c r="A222" s="490" t="s">
        <v>92</v>
      </c>
      <c r="B222" s="491"/>
      <c r="C222" s="185"/>
      <c r="D222" s="115" t="s">
        <v>1017</v>
      </c>
      <c r="E222" s="115" t="s">
        <v>1041</v>
      </c>
      <c r="F222" s="115" t="s">
        <v>1042</v>
      </c>
      <c r="G222" s="219" t="s">
        <v>89</v>
      </c>
      <c r="H222" s="239" t="s">
        <v>89</v>
      </c>
      <c r="I222" s="239" t="s">
        <v>89</v>
      </c>
      <c r="J222" s="239" t="s">
        <v>89</v>
      </c>
      <c r="K222" s="239" t="s">
        <v>89</v>
      </c>
    </row>
    <row r="223" spans="1:11" ht="15" thickBot="1" x14ac:dyDescent="0.4">
      <c r="A223" s="469" t="s">
        <v>531</v>
      </c>
      <c r="B223" s="470"/>
      <c r="C223" s="183"/>
      <c r="D223" s="152">
        <v>4770.0600000000004</v>
      </c>
      <c r="E223" s="152">
        <v>4517.1099999999997</v>
      </c>
      <c r="F223" s="152">
        <v>3632.37</v>
      </c>
      <c r="G223" s="219" t="s">
        <v>89</v>
      </c>
      <c r="H223" s="240">
        <v>10896301</v>
      </c>
      <c r="I223" s="240">
        <v>11208632</v>
      </c>
      <c r="J223" s="240">
        <v>10462408</v>
      </c>
      <c r="K223" s="240">
        <v>9915583</v>
      </c>
    </row>
    <row r="224" spans="1:11" ht="15" thickBot="1" x14ac:dyDescent="0.4">
      <c r="A224" s="490" t="s">
        <v>92</v>
      </c>
      <c r="B224" s="491"/>
      <c r="C224" s="185"/>
      <c r="D224" s="115" t="s">
        <v>1017</v>
      </c>
      <c r="E224" s="115" t="s">
        <v>1041</v>
      </c>
      <c r="F224" s="115" t="s">
        <v>1042</v>
      </c>
      <c r="G224" s="221">
        <v>22434</v>
      </c>
      <c r="H224" s="240">
        <v>-5717</v>
      </c>
      <c r="I224" s="240">
        <v>3882</v>
      </c>
      <c r="J224" s="240">
        <v>-45044</v>
      </c>
      <c r="K224" s="240">
        <v>-24476</v>
      </c>
    </row>
    <row r="225" spans="1:11" ht="15" thickBot="1" x14ac:dyDescent="0.4">
      <c r="A225" s="539" t="s">
        <v>533</v>
      </c>
      <c r="B225" s="539"/>
      <c r="C225" s="98"/>
      <c r="D225" s="98"/>
      <c r="E225" s="98"/>
      <c r="F225" s="98"/>
      <c r="G225" s="221">
        <v>21651</v>
      </c>
      <c r="H225" s="240">
        <v>26844</v>
      </c>
      <c r="I225" s="240">
        <v>-136795</v>
      </c>
      <c r="J225" s="240">
        <v>-100059</v>
      </c>
      <c r="K225" s="240">
        <v>-61552</v>
      </c>
    </row>
    <row r="226" spans="1:11" ht="15" thickBot="1" x14ac:dyDescent="0.4">
      <c r="A226" s="469" t="s">
        <v>535</v>
      </c>
      <c r="B226" s="470"/>
      <c r="C226" s="183"/>
      <c r="D226" s="152">
        <v>3578.33</v>
      </c>
      <c r="E226" s="152">
        <v>3657.5</v>
      </c>
      <c r="F226" s="152">
        <v>3657.5</v>
      </c>
      <c r="G226" s="219" t="s">
        <v>89</v>
      </c>
      <c r="H226" s="239" t="s">
        <v>89</v>
      </c>
      <c r="I226" s="239" t="s">
        <v>89</v>
      </c>
      <c r="J226" s="239" t="s">
        <v>89</v>
      </c>
      <c r="K226" s="239" t="s">
        <v>89</v>
      </c>
    </row>
    <row r="227" spans="1:11" ht="15" thickBot="1" x14ac:dyDescent="0.4">
      <c r="A227" s="490" t="s">
        <v>92</v>
      </c>
      <c r="B227" s="491"/>
      <c r="C227" s="185"/>
      <c r="D227" s="115" t="s">
        <v>839</v>
      </c>
      <c r="E227" s="115" t="s">
        <v>861</v>
      </c>
      <c r="F227" s="115" t="s">
        <v>850</v>
      </c>
      <c r="G227" s="219" t="s">
        <v>89</v>
      </c>
      <c r="H227" s="239" t="s">
        <v>89</v>
      </c>
      <c r="I227" s="239" t="s">
        <v>89</v>
      </c>
      <c r="J227" s="239" t="s">
        <v>89</v>
      </c>
      <c r="K227" s="239" t="s">
        <v>89</v>
      </c>
    </row>
    <row r="228" spans="1:11" ht="15" thickBot="1" x14ac:dyDescent="0.4">
      <c r="A228" s="469" t="s">
        <v>537</v>
      </c>
      <c r="B228" s="470"/>
      <c r="C228" s="183"/>
      <c r="D228" s="152" t="s">
        <v>89</v>
      </c>
      <c r="E228" s="152" t="s">
        <v>89</v>
      </c>
      <c r="F228" s="152" t="s">
        <v>89</v>
      </c>
      <c r="G228" s="219" t="s">
        <v>89</v>
      </c>
      <c r="H228" s="239" t="s">
        <v>89</v>
      </c>
      <c r="I228" s="239" t="s">
        <v>89</v>
      </c>
      <c r="J228" s="239" t="s">
        <v>89</v>
      </c>
      <c r="K228" s="239" t="s">
        <v>89</v>
      </c>
    </row>
    <row r="229" spans="1:11" ht="15" thickBot="1" x14ac:dyDescent="0.4">
      <c r="A229" s="490" t="s">
        <v>92</v>
      </c>
      <c r="B229" s="491"/>
      <c r="C229" s="185"/>
      <c r="D229" s="115" t="s">
        <v>89</v>
      </c>
      <c r="E229" s="115" t="s">
        <v>89</v>
      </c>
      <c r="F229" s="115" t="s">
        <v>89</v>
      </c>
      <c r="G229" s="219" t="s">
        <v>89</v>
      </c>
      <c r="H229" s="239" t="s">
        <v>89</v>
      </c>
      <c r="I229" s="239" t="s">
        <v>89</v>
      </c>
      <c r="J229" s="239" t="s">
        <v>89</v>
      </c>
      <c r="K229" s="239" t="s">
        <v>89</v>
      </c>
    </row>
    <row r="230" spans="1:11" ht="15" thickBot="1" x14ac:dyDescent="0.4">
      <c r="A230" s="469" t="s">
        <v>539</v>
      </c>
      <c r="B230" s="470"/>
      <c r="C230" s="183"/>
      <c r="D230" s="152" t="s">
        <v>89</v>
      </c>
      <c r="E230" s="152" t="s">
        <v>89</v>
      </c>
      <c r="F230" s="152" t="s">
        <v>89</v>
      </c>
      <c r="G230" s="219" t="s">
        <v>89</v>
      </c>
      <c r="H230" s="239" t="s">
        <v>89</v>
      </c>
      <c r="I230" s="239" t="s">
        <v>89</v>
      </c>
      <c r="J230" s="239" t="s">
        <v>89</v>
      </c>
      <c r="K230" s="239" t="s">
        <v>89</v>
      </c>
    </row>
    <row r="231" spans="1:11" ht="15" thickBot="1" x14ac:dyDescent="0.4">
      <c r="A231" s="490" t="s">
        <v>92</v>
      </c>
      <c r="B231" s="491"/>
      <c r="C231" s="185"/>
      <c r="D231" s="115" t="s">
        <v>89</v>
      </c>
      <c r="E231" s="115" t="s">
        <v>89</v>
      </c>
      <c r="F231" s="115" t="s">
        <v>89</v>
      </c>
      <c r="G231" s="219" t="s">
        <v>89</v>
      </c>
      <c r="H231" s="239" t="s">
        <v>89</v>
      </c>
      <c r="I231" s="239" t="s">
        <v>89</v>
      </c>
      <c r="J231" s="239" t="s">
        <v>89</v>
      </c>
      <c r="K231" s="239" t="s">
        <v>89</v>
      </c>
    </row>
    <row r="232" spans="1:11" ht="15" thickBot="1" x14ac:dyDescent="0.4">
      <c r="A232" s="469" t="s">
        <v>541</v>
      </c>
      <c r="B232" s="470"/>
      <c r="C232" s="183"/>
      <c r="D232" s="152" t="s">
        <v>89</v>
      </c>
      <c r="E232" s="152" t="s">
        <v>89</v>
      </c>
      <c r="F232" s="152" t="s">
        <v>89</v>
      </c>
      <c r="G232" s="219" t="s">
        <v>89</v>
      </c>
      <c r="H232" s="239" t="s">
        <v>89</v>
      </c>
      <c r="I232" s="239" t="s">
        <v>89</v>
      </c>
      <c r="J232" s="239" t="s">
        <v>89</v>
      </c>
      <c r="K232" s="239" t="s">
        <v>89</v>
      </c>
    </row>
    <row r="233" spans="1:11" ht="15" thickBot="1" x14ac:dyDescent="0.4">
      <c r="A233" s="490" t="s">
        <v>92</v>
      </c>
      <c r="B233" s="491"/>
      <c r="C233" s="185"/>
      <c r="D233" s="115" t="s">
        <v>89</v>
      </c>
      <c r="E233" s="115" t="s">
        <v>89</v>
      </c>
      <c r="F233" s="115" t="s">
        <v>89</v>
      </c>
      <c r="G233" s="219" t="s">
        <v>89</v>
      </c>
      <c r="H233" s="239" t="s">
        <v>89</v>
      </c>
      <c r="I233" s="239" t="s">
        <v>89</v>
      </c>
      <c r="J233" s="239" t="s">
        <v>89</v>
      </c>
      <c r="K233" s="239" t="s">
        <v>89</v>
      </c>
    </row>
    <row r="234" spans="1:11" ht="15" thickBot="1" x14ac:dyDescent="0.4">
      <c r="A234" s="469" t="s">
        <v>543</v>
      </c>
      <c r="B234" s="470"/>
      <c r="C234" s="183"/>
      <c r="D234" s="152" t="s">
        <v>89</v>
      </c>
      <c r="E234" s="152" t="s">
        <v>89</v>
      </c>
      <c r="F234" s="152" t="s">
        <v>89</v>
      </c>
      <c r="G234" s="219" t="s">
        <v>89</v>
      </c>
      <c r="H234" s="239" t="s">
        <v>89</v>
      </c>
      <c r="I234" s="239" t="s">
        <v>89</v>
      </c>
      <c r="J234" s="239" t="s">
        <v>89</v>
      </c>
      <c r="K234" s="239" t="s">
        <v>89</v>
      </c>
    </row>
    <row r="235" spans="1:11" ht="15" thickBot="1" x14ac:dyDescent="0.4">
      <c r="A235" s="490" t="s">
        <v>92</v>
      </c>
      <c r="B235" s="491"/>
      <c r="C235" s="185"/>
      <c r="D235" s="115" t="s">
        <v>89</v>
      </c>
      <c r="E235" s="115" t="s">
        <v>89</v>
      </c>
      <c r="F235" s="115" t="s">
        <v>89</v>
      </c>
      <c r="G235" s="219" t="s">
        <v>89</v>
      </c>
      <c r="H235" s="239" t="s">
        <v>89</v>
      </c>
      <c r="I235" s="239" t="s">
        <v>89</v>
      </c>
      <c r="J235" s="239" t="s">
        <v>89</v>
      </c>
      <c r="K235" s="239" t="s">
        <v>89</v>
      </c>
    </row>
    <row r="236" spans="1:11" ht="15" thickBot="1" x14ac:dyDescent="0.4">
      <c r="A236" s="469" t="s">
        <v>545</v>
      </c>
      <c r="B236" s="470"/>
      <c r="C236" s="183"/>
      <c r="D236" s="152" t="s">
        <v>89</v>
      </c>
      <c r="E236" s="152" t="s">
        <v>89</v>
      </c>
      <c r="F236" s="152" t="s">
        <v>89</v>
      </c>
      <c r="G236" s="219" t="s">
        <v>89</v>
      </c>
      <c r="H236" s="239" t="s">
        <v>89</v>
      </c>
      <c r="I236" s="239" t="s">
        <v>89</v>
      </c>
      <c r="J236" s="239" t="s">
        <v>89</v>
      </c>
      <c r="K236" s="239" t="s">
        <v>89</v>
      </c>
    </row>
    <row r="237" spans="1:11" ht="15" thickBot="1" x14ac:dyDescent="0.4">
      <c r="A237" s="490" t="s">
        <v>92</v>
      </c>
      <c r="B237" s="491"/>
      <c r="C237" s="185"/>
      <c r="D237" s="115" t="s">
        <v>89</v>
      </c>
      <c r="E237" s="115" t="s">
        <v>89</v>
      </c>
      <c r="F237" s="115" t="s">
        <v>89</v>
      </c>
      <c r="G237" s="219" t="s">
        <v>89</v>
      </c>
      <c r="H237" s="239" t="s">
        <v>89</v>
      </c>
      <c r="I237" s="239" t="s">
        <v>89</v>
      </c>
      <c r="J237" s="239" t="s">
        <v>89</v>
      </c>
      <c r="K237" s="239" t="s">
        <v>89</v>
      </c>
    </row>
    <row r="238" spans="1:11" ht="15" thickBot="1" x14ac:dyDescent="0.4">
      <c r="A238" s="469" t="s">
        <v>547</v>
      </c>
      <c r="B238" s="470"/>
      <c r="C238" s="183"/>
      <c r="D238" s="152" t="s">
        <v>89</v>
      </c>
      <c r="E238" s="152" t="s">
        <v>89</v>
      </c>
      <c r="F238" s="152" t="s">
        <v>89</v>
      </c>
      <c r="G238" s="219" t="s">
        <v>89</v>
      </c>
      <c r="H238" s="239" t="s">
        <v>89</v>
      </c>
      <c r="I238" s="239" t="s">
        <v>89</v>
      </c>
      <c r="J238" s="239" t="s">
        <v>89</v>
      </c>
      <c r="K238" s="239" t="s">
        <v>89</v>
      </c>
    </row>
    <row r="239" spans="1:11" ht="15" thickBot="1" x14ac:dyDescent="0.4">
      <c r="A239" s="490" t="s">
        <v>92</v>
      </c>
      <c r="B239" s="491"/>
      <c r="C239" s="185"/>
      <c r="D239" s="115" t="s">
        <v>89</v>
      </c>
      <c r="E239" s="115" t="s">
        <v>89</v>
      </c>
      <c r="F239" s="115" t="s">
        <v>89</v>
      </c>
      <c r="G239" s="219" t="s">
        <v>89</v>
      </c>
      <c r="H239" s="239" t="s">
        <v>89</v>
      </c>
      <c r="I239" s="239" t="s">
        <v>89</v>
      </c>
      <c r="J239" s="239" t="s">
        <v>89</v>
      </c>
      <c r="K239" s="239" t="s">
        <v>89</v>
      </c>
    </row>
    <row r="240" spans="1:11" ht="15" thickBot="1" x14ac:dyDescent="0.4">
      <c r="A240" s="469" t="s">
        <v>549</v>
      </c>
      <c r="B240" s="470"/>
      <c r="C240" s="183"/>
      <c r="D240" s="152" t="s">
        <v>89</v>
      </c>
      <c r="E240" s="152" t="s">
        <v>89</v>
      </c>
      <c r="F240" s="152" t="s">
        <v>89</v>
      </c>
      <c r="G240" s="219" t="s">
        <v>89</v>
      </c>
      <c r="H240" s="239" t="s">
        <v>89</v>
      </c>
      <c r="I240" s="239" t="s">
        <v>89</v>
      </c>
      <c r="J240" s="239" t="s">
        <v>89</v>
      </c>
      <c r="K240" s="239" t="s">
        <v>89</v>
      </c>
    </row>
    <row r="241" spans="1:11" ht="15" thickBot="1" x14ac:dyDescent="0.4">
      <c r="A241" s="490" t="s">
        <v>92</v>
      </c>
      <c r="B241" s="491"/>
      <c r="C241" s="185"/>
      <c r="D241" s="115" t="s">
        <v>89</v>
      </c>
      <c r="E241" s="115" t="s">
        <v>89</v>
      </c>
      <c r="F241" s="115" t="s">
        <v>89</v>
      </c>
      <c r="G241" s="219" t="s">
        <v>89</v>
      </c>
      <c r="H241" s="239" t="s">
        <v>89</v>
      </c>
      <c r="I241" s="239" t="s">
        <v>89</v>
      </c>
      <c r="J241" s="239" t="s">
        <v>89</v>
      </c>
      <c r="K241" s="239" t="s">
        <v>89</v>
      </c>
    </row>
    <row r="242" spans="1:11" ht="15" thickBot="1" x14ac:dyDescent="0.4">
      <c r="A242" s="469" t="s">
        <v>551</v>
      </c>
      <c r="B242" s="470"/>
      <c r="C242" s="183"/>
      <c r="D242" s="150">
        <v>6094822</v>
      </c>
      <c r="E242" s="150">
        <v>7523561</v>
      </c>
      <c r="F242" s="150">
        <v>10972266</v>
      </c>
      <c r="G242" s="219" t="s">
        <v>89</v>
      </c>
      <c r="H242" s="239" t="s">
        <v>89</v>
      </c>
      <c r="I242" s="239" t="s">
        <v>89</v>
      </c>
      <c r="J242" s="239" t="s">
        <v>89</v>
      </c>
      <c r="K242" s="239" t="s">
        <v>89</v>
      </c>
    </row>
    <row r="243" spans="1:11" ht="15" thickBot="1" x14ac:dyDescent="0.4">
      <c r="A243" s="490" t="s">
        <v>92</v>
      </c>
      <c r="B243" s="491"/>
      <c r="C243" s="185"/>
      <c r="D243" s="115" t="s">
        <v>1043</v>
      </c>
      <c r="E243" s="115" t="s">
        <v>860</v>
      </c>
      <c r="F243" s="115" t="s">
        <v>1044</v>
      </c>
      <c r="G243" s="219" t="s">
        <v>89</v>
      </c>
      <c r="H243" s="239" t="s">
        <v>89</v>
      </c>
      <c r="I243" s="239" t="s">
        <v>89</v>
      </c>
      <c r="J243" s="239" t="s">
        <v>89</v>
      </c>
      <c r="K243" s="239" t="s">
        <v>89</v>
      </c>
    </row>
    <row r="244" spans="1:11" ht="15" thickBot="1" x14ac:dyDescent="0.4">
      <c r="A244" s="469" t="s">
        <v>553</v>
      </c>
      <c r="B244" s="470"/>
      <c r="C244" s="183"/>
      <c r="D244" s="150" t="s">
        <v>89</v>
      </c>
      <c r="E244" s="150" t="s">
        <v>89</v>
      </c>
      <c r="F244" s="150" t="s">
        <v>89</v>
      </c>
      <c r="G244" s="219" t="s">
        <v>89</v>
      </c>
      <c r="H244" s="239" t="s">
        <v>89</v>
      </c>
      <c r="I244" s="239" t="s">
        <v>89</v>
      </c>
      <c r="J244" s="239" t="s">
        <v>89</v>
      </c>
      <c r="K244" s="239" t="s">
        <v>89</v>
      </c>
    </row>
    <row r="245" spans="1:11" ht="15" thickBot="1" x14ac:dyDescent="0.4">
      <c r="A245" s="490" t="s">
        <v>92</v>
      </c>
      <c r="B245" s="491"/>
      <c r="C245" s="185"/>
      <c r="D245" s="115" t="s">
        <v>89</v>
      </c>
      <c r="E245" s="115" t="s">
        <v>89</v>
      </c>
      <c r="F245" s="115" t="s">
        <v>89</v>
      </c>
      <c r="G245" s="219" t="s">
        <v>89</v>
      </c>
      <c r="H245" s="239" t="s">
        <v>89</v>
      </c>
      <c r="I245" s="239" t="s">
        <v>89</v>
      </c>
      <c r="J245" s="239" t="s">
        <v>89</v>
      </c>
      <c r="K245" s="239" t="s">
        <v>89</v>
      </c>
    </row>
    <row r="246" spans="1:11" ht="15" thickBot="1" x14ac:dyDescent="0.4">
      <c r="A246" s="469" t="s">
        <v>554</v>
      </c>
      <c r="B246" s="470"/>
      <c r="C246" s="183"/>
      <c r="D246" s="150" t="s">
        <v>89</v>
      </c>
      <c r="E246" s="150" t="s">
        <v>89</v>
      </c>
      <c r="F246" s="150" t="s">
        <v>89</v>
      </c>
      <c r="G246" s="219" t="s">
        <v>89</v>
      </c>
      <c r="H246" s="239" t="s">
        <v>89</v>
      </c>
      <c r="I246" s="239" t="s">
        <v>89</v>
      </c>
      <c r="J246" s="239" t="s">
        <v>89</v>
      </c>
      <c r="K246" s="239" t="s">
        <v>89</v>
      </c>
    </row>
    <row r="247" spans="1:11" ht="15" thickBot="1" x14ac:dyDescent="0.4">
      <c r="A247" s="490" t="s">
        <v>92</v>
      </c>
      <c r="B247" s="491"/>
      <c r="C247" s="185"/>
      <c r="D247" s="115" t="s">
        <v>89</v>
      </c>
      <c r="E247" s="115" t="s">
        <v>89</v>
      </c>
      <c r="F247" s="115" t="s">
        <v>89</v>
      </c>
      <c r="G247" s="219" t="s">
        <v>89</v>
      </c>
      <c r="H247" s="239" t="s">
        <v>89</v>
      </c>
      <c r="I247" s="239" t="s">
        <v>89</v>
      </c>
      <c r="J247" s="239" t="s">
        <v>89</v>
      </c>
      <c r="K247" s="239" t="s">
        <v>89</v>
      </c>
    </row>
    <row r="248" spans="1:11" ht="15" thickBot="1" x14ac:dyDescent="0.4">
      <c r="A248" s="469" t="s">
        <v>556</v>
      </c>
      <c r="B248" s="470"/>
      <c r="C248" s="183"/>
      <c r="D248" s="152" t="s">
        <v>89</v>
      </c>
      <c r="E248" s="152" t="s">
        <v>89</v>
      </c>
      <c r="F248" s="152" t="s">
        <v>89</v>
      </c>
      <c r="G248" s="219" t="s">
        <v>89</v>
      </c>
      <c r="H248" s="239" t="s">
        <v>89</v>
      </c>
      <c r="I248" s="239" t="s">
        <v>89</v>
      </c>
      <c r="J248" s="239" t="s">
        <v>89</v>
      </c>
      <c r="K248" s="239" t="s">
        <v>89</v>
      </c>
    </row>
    <row r="249" spans="1:11" ht="15" thickBot="1" x14ac:dyDescent="0.4">
      <c r="A249" s="490" t="s">
        <v>92</v>
      </c>
      <c r="B249" s="491"/>
      <c r="C249" s="185"/>
      <c r="D249" s="115" t="s">
        <v>89</v>
      </c>
      <c r="E249" s="115" t="s">
        <v>89</v>
      </c>
      <c r="F249" s="115" t="s">
        <v>89</v>
      </c>
      <c r="G249" s="219" t="s">
        <v>89</v>
      </c>
      <c r="H249" s="239" t="s">
        <v>89</v>
      </c>
      <c r="I249" s="239" t="s">
        <v>89</v>
      </c>
      <c r="J249" s="239" t="s">
        <v>89</v>
      </c>
      <c r="K249" s="239" t="s">
        <v>89</v>
      </c>
    </row>
    <row r="250" spans="1:11" ht="15" thickBot="1" x14ac:dyDescent="0.4">
      <c r="A250" s="469" t="s">
        <v>557</v>
      </c>
      <c r="B250" s="470"/>
      <c r="C250" s="183"/>
      <c r="D250" s="152" t="s">
        <v>89</v>
      </c>
      <c r="E250" s="152" t="s">
        <v>89</v>
      </c>
      <c r="F250" s="152" t="s">
        <v>89</v>
      </c>
      <c r="G250" s="219" t="s">
        <v>89</v>
      </c>
      <c r="H250" s="239" t="s">
        <v>89</v>
      </c>
      <c r="I250" s="239" t="s">
        <v>89</v>
      </c>
      <c r="J250" s="239" t="s">
        <v>89</v>
      </c>
      <c r="K250" s="239" t="s">
        <v>89</v>
      </c>
    </row>
    <row r="251" spans="1:11" ht="15" thickBot="1" x14ac:dyDescent="0.4">
      <c r="A251" s="490" t="s">
        <v>92</v>
      </c>
      <c r="B251" s="491"/>
      <c r="C251" s="185"/>
      <c r="D251" s="115" t="s">
        <v>89</v>
      </c>
      <c r="E251" s="115" t="s">
        <v>89</v>
      </c>
      <c r="F251" s="115" t="s">
        <v>89</v>
      </c>
      <c r="G251" s="219" t="s">
        <v>89</v>
      </c>
      <c r="H251" s="239" t="s">
        <v>89</v>
      </c>
      <c r="I251" s="239" t="s">
        <v>89</v>
      </c>
      <c r="J251" s="239" t="s">
        <v>89</v>
      </c>
      <c r="K251" s="239" t="s">
        <v>89</v>
      </c>
    </row>
    <row r="252" spans="1:11" ht="15" thickBot="1" x14ac:dyDescent="0.4">
      <c r="A252" s="469" t="s">
        <v>558</v>
      </c>
      <c r="B252" s="470"/>
      <c r="C252" s="183"/>
      <c r="D252" s="150" t="s">
        <v>89</v>
      </c>
      <c r="E252" s="150" t="s">
        <v>89</v>
      </c>
      <c r="F252" s="150" t="s">
        <v>89</v>
      </c>
      <c r="G252" s="219" t="s">
        <v>89</v>
      </c>
      <c r="H252" s="239" t="s">
        <v>89</v>
      </c>
      <c r="I252" s="239" t="s">
        <v>89</v>
      </c>
      <c r="J252" s="239" t="s">
        <v>89</v>
      </c>
      <c r="K252" s="239" t="s">
        <v>89</v>
      </c>
    </row>
    <row r="253" spans="1:11" ht="15" thickBot="1" x14ac:dyDescent="0.4">
      <c r="A253" s="490" t="s">
        <v>92</v>
      </c>
      <c r="B253" s="491"/>
      <c r="C253" s="185"/>
      <c r="D253" s="115" t="s">
        <v>89</v>
      </c>
      <c r="E253" s="115" t="s">
        <v>89</v>
      </c>
      <c r="F253" s="115" t="s">
        <v>89</v>
      </c>
      <c r="G253" s="219" t="s">
        <v>89</v>
      </c>
      <c r="H253" s="239" t="s">
        <v>89</v>
      </c>
      <c r="I253" s="239" t="s">
        <v>89</v>
      </c>
      <c r="J253" s="239" t="s">
        <v>89</v>
      </c>
      <c r="K253" s="239" t="s">
        <v>89</v>
      </c>
    </row>
    <row r="254" spans="1:11" ht="15" thickBot="1" x14ac:dyDescent="0.4">
      <c r="A254" s="469" t="s">
        <v>560</v>
      </c>
      <c r="B254" s="470"/>
      <c r="C254" s="183"/>
      <c r="D254" s="150" t="s">
        <v>89</v>
      </c>
      <c r="E254" s="150" t="s">
        <v>89</v>
      </c>
      <c r="F254" s="150" t="s">
        <v>89</v>
      </c>
      <c r="G254" s="219" t="s">
        <v>89</v>
      </c>
      <c r="H254" s="239" t="s">
        <v>89</v>
      </c>
      <c r="I254" s="239" t="s">
        <v>89</v>
      </c>
      <c r="J254" s="239" t="s">
        <v>89</v>
      </c>
      <c r="K254" s="239" t="s">
        <v>89</v>
      </c>
    </row>
    <row r="255" spans="1:11" ht="15" thickBot="1" x14ac:dyDescent="0.4">
      <c r="A255" s="490" t="s">
        <v>92</v>
      </c>
      <c r="B255" s="491"/>
      <c r="C255" s="185"/>
      <c r="D255" s="115" t="s">
        <v>89</v>
      </c>
      <c r="E255" s="115" t="s">
        <v>89</v>
      </c>
      <c r="F255" s="115" t="s">
        <v>89</v>
      </c>
      <c r="G255" s="221">
        <v>11231411</v>
      </c>
      <c r="H255" s="240">
        <v>12202403</v>
      </c>
      <c r="I255" s="240">
        <v>12494129</v>
      </c>
      <c r="J255" s="240">
        <v>11743938</v>
      </c>
      <c r="K255" s="240">
        <v>9637762</v>
      </c>
    </row>
    <row r="256" spans="1:11" x14ac:dyDescent="0.35">
      <c r="A256" s="469" t="s">
        <v>562</v>
      </c>
      <c r="B256" s="470"/>
      <c r="C256" s="183"/>
      <c r="D256" s="150" t="s">
        <v>89</v>
      </c>
      <c r="E256" s="150" t="s">
        <v>89</v>
      </c>
      <c r="F256" s="150" t="s">
        <v>89</v>
      </c>
      <c r="G256" s="221">
        <v>12908616</v>
      </c>
      <c r="H256" s="240">
        <v>14214817</v>
      </c>
      <c r="I256" s="240">
        <v>15437569</v>
      </c>
      <c r="J256" s="240">
        <v>14107193</v>
      </c>
      <c r="K256" s="240">
        <v>11976296</v>
      </c>
    </row>
    <row r="257" spans="1:11" ht="15" thickBot="1" x14ac:dyDescent="0.4">
      <c r="A257" s="490" t="s">
        <v>92</v>
      </c>
      <c r="B257" s="491"/>
      <c r="C257" s="185"/>
      <c r="D257" s="115" t="s">
        <v>89</v>
      </c>
      <c r="E257" s="115" t="s">
        <v>89</v>
      </c>
      <c r="F257" s="115" t="s">
        <v>89</v>
      </c>
      <c r="G257" s="220"/>
      <c r="H257" s="243"/>
      <c r="I257" s="243"/>
      <c r="J257" s="243"/>
      <c r="K257" s="243"/>
    </row>
    <row r="258" spans="1:11" ht="15" thickBot="1" x14ac:dyDescent="0.4">
      <c r="A258" s="469" t="s">
        <v>564</v>
      </c>
      <c r="B258" s="470"/>
      <c r="C258" s="183"/>
      <c r="D258" s="150" t="s">
        <v>89</v>
      </c>
      <c r="E258" s="150" t="s">
        <v>89</v>
      </c>
      <c r="F258" s="150" t="s">
        <v>89</v>
      </c>
      <c r="G258" s="209">
        <v>1874905</v>
      </c>
      <c r="H258" s="237">
        <v>2238366</v>
      </c>
      <c r="I258" s="237">
        <v>2310674</v>
      </c>
      <c r="J258" s="237">
        <v>2320982</v>
      </c>
      <c r="K258" s="237">
        <v>1956248</v>
      </c>
    </row>
    <row r="259" spans="1:11" ht="15" thickBot="1" x14ac:dyDescent="0.4">
      <c r="A259" s="490" t="s">
        <v>92</v>
      </c>
      <c r="B259" s="491"/>
      <c r="C259" s="185"/>
      <c r="D259" s="115" t="s">
        <v>89</v>
      </c>
      <c r="E259" s="115" t="s">
        <v>89</v>
      </c>
      <c r="F259" s="115" t="s">
        <v>89</v>
      </c>
      <c r="G259" s="213" t="s">
        <v>89</v>
      </c>
      <c r="H259" s="238" t="s">
        <v>89</v>
      </c>
      <c r="I259" s="238" t="s">
        <v>89</v>
      </c>
      <c r="J259" s="238" t="s">
        <v>89</v>
      </c>
      <c r="K259" s="238" t="s">
        <v>89</v>
      </c>
    </row>
    <row r="260" spans="1:11" ht="15" thickBot="1" x14ac:dyDescent="0.4">
      <c r="A260" s="469" t="s">
        <v>566</v>
      </c>
      <c r="B260" s="470"/>
      <c r="C260" s="183"/>
      <c r="D260" s="150" t="s">
        <v>89</v>
      </c>
      <c r="E260" s="150" t="s">
        <v>89</v>
      </c>
      <c r="F260" s="150" t="s">
        <v>89</v>
      </c>
      <c r="G260" s="208">
        <v>1874905</v>
      </c>
      <c r="H260" s="237">
        <v>2238366</v>
      </c>
      <c r="I260" s="237">
        <v>2310674</v>
      </c>
      <c r="J260" s="237">
        <v>2320982</v>
      </c>
      <c r="K260" s="237">
        <v>1956248</v>
      </c>
    </row>
    <row r="261" spans="1:11" ht="15" thickBot="1" x14ac:dyDescent="0.4">
      <c r="A261" s="490" t="s">
        <v>92</v>
      </c>
      <c r="B261" s="491"/>
      <c r="C261" s="185"/>
      <c r="D261" s="115" t="s">
        <v>89</v>
      </c>
      <c r="E261" s="115" t="s">
        <v>89</v>
      </c>
      <c r="F261" s="115" t="s">
        <v>89</v>
      </c>
      <c r="G261" s="209">
        <v>-28839</v>
      </c>
      <c r="H261" s="237">
        <v>3012</v>
      </c>
      <c r="I261" s="237">
        <v>-27870</v>
      </c>
      <c r="J261" s="237">
        <v>-31282</v>
      </c>
      <c r="K261" s="237">
        <v>-38289</v>
      </c>
    </row>
    <row r="262" spans="1:11" ht="15" thickBot="1" x14ac:dyDescent="0.4">
      <c r="A262" s="469" t="s">
        <v>568</v>
      </c>
      <c r="B262" s="470"/>
      <c r="C262" s="183"/>
      <c r="D262" s="150" t="s">
        <v>89</v>
      </c>
      <c r="E262" s="150" t="s">
        <v>89</v>
      </c>
      <c r="F262" s="150" t="s">
        <v>89</v>
      </c>
      <c r="G262" s="213" t="s">
        <v>89</v>
      </c>
      <c r="H262" s="238" t="s">
        <v>89</v>
      </c>
      <c r="I262" s="238" t="s">
        <v>89</v>
      </c>
      <c r="J262" s="238" t="s">
        <v>89</v>
      </c>
      <c r="K262" s="238" t="s">
        <v>89</v>
      </c>
    </row>
    <row r="263" spans="1:11" ht="15" thickBot="1" x14ac:dyDescent="0.4">
      <c r="A263" s="490" t="s">
        <v>92</v>
      </c>
      <c r="B263" s="491"/>
      <c r="C263" s="185"/>
      <c r="D263" s="115" t="s">
        <v>89</v>
      </c>
      <c r="E263" s="115" t="s">
        <v>89</v>
      </c>
      <c r="F263" s="115" t="s">
        <v>89</v>
      </c>
      <c r="G263" s="208">
        <v>-28839</v>
      </c>
      <c r="H263" s="237">
        <v>3012</v>
      </c>
      <c r="I263" s="237">
        <v>-27870</v>
      </c>
      <c r="J263" s="237">
        <v>-31282</v>
      </c>
      <c r="K263" s="237">
        <v>-38289</v>
      </c>
    </row>
    <row r="264" spans="1:11" ht="15" thickBot="1" x14ac:dyDescent="0.4">
      <c r="A264" s="469" t="s">
        <v>570</v>
      </c>
      <c r="B264" s="470"/>
      <c r="C264" s="183"/>
      <c r="D264" s="150" t="s">
        <v>89</v>
      </c>
      <c r="E264" s="150" t="s">
        <v>89</v>
      </c>
      <c r="F264" s="150" t="s">
        <v>89</v>
      </c>
      <c r="G264" s="221">
        <v>1846067</v>
      </c>
      <c r="H264" s="240">
        <v>2241378</v>
      </c>
      <c r="I264" s="240">
        <v>2282804</v>
      </c>
      <c r="J264" s="240">
        <v>2289700</v>
      </c>
      <c r="K264" s="240">
        <v>1917959</v>
      </c>
    </row>
    <row r="265" spans="1:11" ht="15" thickBot="1" x14ac:dyDescent="0.4">
      <c r="A265" s="490" t="s">
        <v>92</v>
      </c>
      <c r="B265" s="491"/>
      <c r="C265" s="185"/>
      <c r="D265" s="115" t="s">
        <v>89</v>
      </c>
      <c r="E265" s="115" t="s">
        <v>89</v>
      </c>
      <c r="F265" s="115" t="s">
        <v>89</v>
      </c>
      <c r="G265" s="219" t="s">
        <v>89</v>
      </c>
      <c r="H265" s="239" t="s">
        <v>89</v>
      </c>
      <c r="I265" s="239" t="s">
        <v>89</v>
      </c>
      <c r="J265" s="239" t="s">
        <v>89</v>
      </c>
      <c r="K265" s="239" t="s">
        <v>89</v>
      </c>
    </row>
    <row r="266" spans="1:11" ht="15" thickBot="1" x14ac:dyDescent="0.4">
      <c r="A266" s="469" t="s">
        <v>572</v>
      </c>
      <c r="B266" s="470"/>
      <c r="C266" s="183"/>
      <c r="D266" s="150" t="s">
        <v>89</v>
      </c>
      <c r="E266" s="150" t="s">
        <v>89</v>
      </c>
      <c r="F266" s="150" t="s">
        <v>89</v>
      </c>
      <c r="G266" s="219" t="s">
        <v>89</v>
      </c>
      <c r="H266" s="239" t="s">
        <v>89</v>
      </c>
      <c r="I266" s="239" t="s">
        <v>89</v>
      </c>
      <c r="J266" s="239" t="s">
        <v>89</v>
      </c>
      <c r="K266" s="239" t="s">
        <v>89</v>
      </c>
    </row>
    <row r="267" spans="1:11" ht="15" thickBot="1" x14ac:dyDescent="0.4">
      <c r="A267" s="490" t="s">
        <v>92</v>
      </c>
      <c r="B267" s="491"/>
      <c r="C267" s="185"/>
      <c r="D267" s="115" t="s">
        <v>89</v>
      </c>
      <c r="E267" s="115" t="s">
        <v>89</v>
      </c>
      <c r="F267" s="115" t="s">
        <v>89</v>
      </c>
      <c r="G267" s="219" t="s">
        <v>89</v>
      </c>
      <c r="H267" s="239" t="s">
        <v>89</v>
      </c>
      <c r="I267" s="239" t="s">
        <v>89</v>
      </c>
      <c r="J267" s="239" t="s">
        <v>89</v>
      </c>
      <c r="K267" s="239" t="s">
        <v>89</v>
      </c>
    </row>
    <row r="268" spans="1:11" ht="15" thickBot="1" x14ac:dyDescent="0.4">
      <c r="A268" s="469" t="s">
        <v>574</v>
      </c>
      <c r="B268" s="470"/>
      <c r="C268" s="183"/>
      <c r="D268" s="150">
        <v>651271</v>
      </c>
      <c r="E268" s="150">
        <v>319121</v>
      </c>
      <c r="F268" s="150">
        <v>333865</v>
      </c>
      <c r="G268" s="219" t="s">
        <v>89</v>
      </c>
      <c r="H268" s="239" t="s">
        <v>89</v>
      </c>
      <c r="I268" s="239" t="s">
        <v>89</v>
      </c>
      <c r="J268" s="239" t="s">
        <v>89</v>
      </c>
      <c r="K268" s="239" t="s">
        <v>89</v>
      </c>
    </row>
    <row r="269" spans="1:11" ht="15" thickBot="1" x14ac:dyDescent="0.4">
      <c r="A269" s="490" t="s">
        <v>92</v>
      </c>
      <c r="B269" s="491"/>
      <c r="C269" s="185"/>
      <c r="D269" s="115" t="s">
        <v>902</v>
      </c>
      <c r="E269" s="115" t="s">
        <v>1045</v>
      </c>
      <c r="F269" s="115" t="s">
        <v>1046</v>
      </c>
      <c r="G269" s="219" t="s">
        <v>89</v>
      </c>
      <c r="H269" s="239" t="s">
        <v>89</v>
      </c>
      <c r="I269" s="239" t="s">
        <v>89</v>
      </c>
      <c r="J269" s="239" t="s">
        <v>89</v>
      </c>
      <c r="K269" s="239" t="s">
        <v>89</v>
      </c>
    </row>
    <row r="270" spans="1:11" ht="15" thickBot="1" x14ac:dyDescent="0.4">
      <c r="A270" s="469" t="s">
        <v>576</v>
      </c>
      <c r="B270" s="470"/>
      <c r="C270" s="183"/>
      <c r="D270" s="150">
        <v>14169807</v>
      </c>
      <c r="E270" s="150">
        <v>13241356</v>
      </c>
      <c r="F270" s="150">
        <v>10829399</v>
      </c>
      <c r="G270" s="219" t="s">
        <v>89</v>
      </c>
      <c r="H270" s="239" t="s">
        <v>89</v>
      </c>
      <c r="I270" s="239" t="s">
        <v>89</v>
      </c>
      <c r="J270" s="239" t="s">
        <v>89</v>
      </c>
      <c r="K270" s="239" t="s">
        <v>89</v>
      </c>
    </row>
    <row r="271" spans="1:11" ht="15" thickBot="1" x14ac:dyDescent="0.4">
      <c r="A271" s="490" t="s">
        <v>92</v>
      </c>
      <c r="B271" s="491"/>
      <c r="C271" s="185"/>
      <c r="D271" s="115" t="s">
        <v>1011</v>
      </c>
      <c r="E271" s="115" t="s">
        <v>1047</v>
      </c>
      <c r="F271" s="115" t="s">
        <v>1048</v>
      </c>
      <c r="G271" s="219" t="s">
        <v>89</v>
      </c>
      <c r="H271" s="239" t="s">
        <v>89</v>
      </c>
      <c r="I271" s="239" t="s">
        <v>89</v>
      </c>
      <c r="J271" s="239" t="s">
        <v>89</v>
      </c>
      <c r="K271" s="239" t="s">
        <v>89</v>
      </c>
    </row>
    <row r="272" spans="1:11" ht="15" thickBot="1" x14ac:dyDescent="0.4">
      <c r="A272" s="469" t="s">
        <v>578</v>
      </c>
      <c r="B272" s="470"/>
      <c r="C272" s="183"/>
      <c r="D272" s="150">
        <v>7282</v>
      </c>
      <c r="E272" s="150">
        <v>13038</v>
      </c>
      <c r="F272" s="150">
        <v>16140</v>
      </c>
      <c r="G272" s="219" t="s">
        <v>89</v>
      </c>
      <c r="H272" s="239" t="s">
        <v>89</v>
      </c>
      <c r="I272" s="239" t="s">
        <v>89</v>
      </c>
      <c r="J272" s="239" t="s">
        <v>89</v>
      </c>
      <c r="K272" s="239" t="s">
        <v>89</v>
      </c>
    </row>
    <row r="273" spans="1:11" ht="15" thickBot="1" x14ac:dyDescent="0.4">
      <c r="A273" s="490" t="s">
        <v>92</v>
      </c>
      <c r="B273" s="491"/>
      <c r="C273" s="185"/>
      <c r="D273" s="115" t="s">
        <v>1049</v>
      </c>
      <c r="E273" s="115" t="s">
        <v>1050</v>
      </c>
      <c r="F273" s="115" t="s">
        <v>1051</v>
      </c>
      <c r="G273" s="219" t="s">
        <v>89</v>
      </c>
      <c r="H273" s="239" t="s">
        <v>89</v>
      </c>
      <c r="I273" s="239" t="s">
        <v>89</v>
      </c>
      <c r="J273" s="239" t="s">
        <v>89</v>
      </c>
      <c r="K273" s="239" t="s">
        <v>89</v>
      </c>
    </row>
    <row r="274" spans="1:11" x14ac:dyDescent="0.35">
      <c r="A274" s="469" t="s">
        <v>580</v>
      </c>
      <c r="B274" s="470"/>
      <c r="C274" s="183"/>
      <c r="D274" s="150">
        <v>2290086</v>
      </c>
      <c r="E274" s="150">
        <v>2302737</v>
      </c>
      <c r="F274" s="150">
        <v>1934100</v>
      </c>
      <c r="G274" s="219" t="s">
        <v>89</v>
      </c>
      <c r="H274" s="239" t="s">
        <v>89</v>
      </c>
      <c r="I274" s="239" t="s">
        <v>89</v>
      </c>
      <c r="J274" s="239" t="s">
        <v>89</v>
      </c>
      <c r="K274" s="239" t="s">
        <v>89</v>
      </c>
    </row>
    <row r="275" spans="1:11" ht="15" thickBot="1" x14ac:dyDescent="0.4">
      <c r="A275" s="490" t="s">
        <v>92</v>
      </c>
      <c r="B275" s="491"/>
      <c r="C275" s="185"/>
      <c r="D275" s="115" t="s">
        <v>1028</v>
      </c>
      <c r="E275" s="115" t="s">
        <v>845</v>
      </c>
      <c r="F275" s="115" t="s">
        <v>1052</v>
      </c>
      <c r="G275" s="216"/>
      <c r="H275" s="244"/>
      <c r="I275" s="244"/>
      <c r="J275" s="244"/>
      <c r="K275" s="244"/>
    </row>
    <row r="276" spans="1:11" ht="15" thickBot="1" x14ac:dyDescent="0.4">
      <c r="A276" s="469" t="s">
        <v>582</v>
      </c>
      <c r="B276" s="470"/>
      <c r="C276" s="183"/>
      <c r="D276" s="150">
        <v>11879721</v>
      </c>
      <c r="E276" s="150">
        <v>10938619</v>
      </c>
      <c r="F276" s="150">
        <v>8895300</v>
      </c>
      <c r="G276" s="214"/>
      <c r="H276" s="238"/>
      <c r="I276" s="238"/>
      <c r="J276" s="238"/>
      <c r="K276" s="238"/>
    </row>
    <row r="277" spans="1:11" ht="15" thickBot="1" x14ac:dyDescent="0.4">
      <c r="A277" s="490" t="s">
        <v>92</v>
      </c>
      <c r="B277" s="491"/>
      <c r="C277" s="185"/>
      <c r="D277" s="115" t="s">
        <v>1053</v>
      </c>
      <c r="E277" s="115" t="s">
        <v>1054</v>
      </c>
      <c r="F277" s="115" t="s">
        <v>1055</v>
      </c>
      <c r="G277" s="213" t="s">
        <v>735</v>
      </c>
      <c r="H277" s="238" t="s">
        <v>735</v>
      </c>
      <c r="I277" s="238" t="s">
        <v>736</v>
      </c>
      <c r="J277" s="238" t="s">
        <v>737</v>
      </c>
      <c r="K277" s="238" t="s">
        <v>737</v>
      </c>
    </row>
    <row r="278" spans="1:11" ht="15" thickBot="1" x14ac:dyDescent="0.4">
      <c r="A278" s="469" t="s">
        <v>584</v>
      </c>
      <c r="B278" s="470"/>
      <c r="C278" s="183"/>
      <c r="D278" s="150">
        <v>10611761</v>
      </c>
      <c r="E278" s="150">
        <v>9746523</v>
      </c>
      <c r="F278" s="150">
        <v>7909121</v>
      </c>
      <c r="G278" s="218" t="s">
        <v>739</v>
      </c>
      <c r="H278" s="245" t="s">
        <v>739</v>
      </c>
      <c r="I278" s="245" t="s">
        <v>739</v>
      </c>
      <c r="J278" s="245" t="s">
        <v>739</v>
      </c>
      <c r="K278" s="245" t="s">
        <v>739</v>
      </c>
    </row>
    <row r="279" spans="1:11" ht="15.75" customHeight="1" thickBot="1" x14ac:dyDescent="0.4">
      <c r="A279" s="490" t="s">
        <v>92</v>
      </c>
      <c r="B279" s="491"/>
      <c r="C279" s="185"/>
      <c r="D279" s="115" t="s">
        <v>1056</v>
      </c>
      <c r="E279" s="115" t="s">
        <v>98</v>
      </c>
      <c r="F279" s="115" t="s">
        <v>1057</v>
      </c>
      <c r="G279" s="213" t="s">
        <v>741</v>
      </c>
      <c r="H279" s="238" t="s">
        <v>741</v>
      </c>
      <c r="I279" s="238" t="s">
        <v>742</v>
      </c>
      <c r="J279" s="238" t="s">
        <v>743</v>
      </c>
      <c r="K279" s="238" t="s">
        <v>744</v>
      </c>
    </row>
    <row r="280" spans="1:11" ht="15.75" customHeight="1" thickBot="1" x14ac:dyDescent="0.4">
      <c r="A280" s="469" t="s">
        <v>586</v>
      </c>
      <c r="B280" s="470"/>
      <c r="C280" s="183"/>
      <c r="D280" s="152">
        <v>5078.24</v>
      </c>
      <c r="E280" s="152">
        <v>4663.5600000000004</v>
      </c>
      <c r="F280" s="152">
        <v>3784.39</v>
      </c>
      <c r="G280" s="218" t="s">
        <v>739</v>
      </c>
      <c r="H280" s="245" t="s">
        <v>739</v>
      </c>
      <c r="I280" s="245" t="s">
        <v>739</v>
      </c>
      <c r="J280" s="245" t="s">
        <v>739</v>
      </c>
      <c r="K280" s="245" t="s">
        <v>739</v>
      </c>
    </row>
    <row r="281" spans="1:11" ht="15" thickBot="1" x14ac:dyDescent="0.4">
      <c r="A281" s="490" t="s">
        <v>92</v>
      </c>
      <c r="B281" s="491"/>
      <c r="C281" s="185"/>
      <c r="D281" s="115" t="s">
        <v>1056</v>
      </c>
      <c r="E281" s="115" t="s">
        <v>98</v>
      </c>
      <c r="F281" s="115" t="s">
        <v>1057</v>
      </c>
      <c r="G281" s="213" t="s">
        <v>747</v>
      </c>
      <c r="H281" s="238" t="s">
        <v>748</v>
      </c>
      <c r="I281" s="238" t="s">
        <v>748</v>
      </c>
      <c r="J281" s="238" t="s">
        <v>749</v>
      </c>
      <c r="K281" s="238" t="s">
        <v>749</v>
      </c>
    </row>
    <row r="282" spans="1:11" ht="15" thickBot="1" x14ac:dyDescent="0.4">
      <c r="A282" s="469" t="s">
        <v>588</v>
      </c>
      <c r="B282" s="470"/>
      <c r="C282" s="183"/>
      <c r="D282" s="152">
        <v>5078.24</v>
      </c>
      <c r="E282" s="152">
        <v>4663.5600000000004</v>
      </c>
      <c r="F282" s="152">
        <v>3784.39</v>
      </c>
      <c r="G282" s="218" t="s">
        <v>751</v>
      </c>
      <c r="H282" s="245" t="s">
        <v>751</v>
      </c>
      <c r="I282" s="245" t="s">
        <v>751</v>
      </c>
      <c r="J282" s="245" t="s">
        <v>751</v>
      </c>
      <c r="K282" s="245" t="s">
        <v>751</v>
      </c>
    </row>
    <row r="283" spans="1:11" ht="15" thickBot="1" x14ac:dyDescent="0.4">
      <c r="A283" s="490" t="s">
        <v>92</v>
      </c>
      <c r="B283" s="491"/>
      <c r="C283" s="185"/>
      <c r="D283" s="115" t="s">
        <v>1056</v>
      </c>
      <c r="E283" s="115" t="s">
        <v>98</v>
      </c>
      <c r="F283" s="115" t="s">
        <v>1057</v>
      </c>
      <c r="G283" s="213" t="s">
        <v>754</v>
      </c>
      <c r="H283" s="238" t="s">
        <v>754</v>
      </c>
      <c r="I283" s="238" t="s">
        <v>754</v>
      </c>
      <c r="J283" s="530" t="s">
        <v>89</v>
      </c>
      <c r="K283" s="530" t="s">
        <v>89</v>
      </c>
    </row>
    <row r="284" spans="1:11" ht="15" thickBot="1" x14ac:dyDescent="0.4">
      <c r="A284" s="469" t="s">
        <v>590</v>
      </c>
      <c r="B284" s="470"/>
      <c r="C284" s="183"/>
      <c r="D284" s="152" t="s">
        <v>89</v>
      </c>
      <c r="E284" s="152" t="s">
        <v>89</v>
      </c>
      <c r="F284" s="152" t="s">
        <v>89</v>
      </c>
      <c r="G284" s="218" t="s">
        <v>756</v>
      </c>
      <c r="H284" s="245" t="s">
        <v>757</v>
      </c>
      <c r="I284" s="245" t="s">
        <v>758</v>
      </c>
      <c r="J284" s="531"/>
      <c r="K284" s="531"/>
    </row>
    <row r="285" spans="1:11" ht="15" thickBot="1" x14ac:dyDescent="0.4">
      <c r="A285" s="490" t="s">
        <v>92</v>
      </c>
      <c r="B285" s="491"/>
      <c r="C285" s="185"/>
      <c r="D285" s="115" t="s">
        <v>89</v>
      </c>
      <c r="E285" s="115" t="s">
        <v>89</v>
      </c>
      <c r="F285" s="115" t="s">
        <v>89</v>
      </c>
      <c r="G285" s="213" t="s">
        <v>754</v>
      </c>
      <c r="H285" s="238" t="s">
        <v>754</v>
      </c>
      <c r="I285" s="530" t="s">
        <v>89</v>
      </c>
      <c r="J285" s="530" t="s">
        <v>89</v>
      </c>
      <c r="K285" s="530" t="s">
        <v>89</v>
      </c>
    </row>
    <row r="286" spans="1:11" ht="15" thickBot="1" x14ac:dyDescent="0.4">
      <c r="A286" s="469" t="s">
        <v>592</v>
      </c>
      <c r="B286" s="470"/>
      <c r="C286" s="183"/>
      <c r="D286" s="150" t="s">
        <v>89</v>
      </c>
      <c r="E286" s="150" t="s">
        <v>89</v>
      </c>
      <c r="F286" s="150" t="s">
        <v>89</v>
      </c>
      <c r="G286" s="218" t="s">
        <v>761</v>
      </c>
      <c r="H286" s="245" t="s">
        <v>762</v>
      </c>
      <c r="I286" s="531"/>
      <c r="J286" s="531"/>
      <c r="K286" s="531"/>
    </row>
    <row r="287" spans="1:11" ht="15" thickBot="1" x14ac:dyDescent="0.4">
      <c r="A287" s="490" t="s">
        <v>92</v>
      </c>
      <c r="B287" s="491"/>
      <c r="C287" s="185"/>
      <c r="D287" s="115" t="s">
        <v>89</v>
      </c>
      <c r="E287" s="115" t="s">
        <v>89</v>
      </c>
      <c r="F287" s="115" t="s">
        <v>89</v>
      </c>
      <c r="G287" s="213" t="s">
        <v>754</v>
      </c>
      <c r="H287" s="238" t="s">
        <v>754</v>
      </c>
      <c r="I287" s="530" t="s">
        <v>89</v>
      </c>
      <c r="J287" s="530" t="s">
        <v>89</v>
      </c>
      <c r="K287" s="530" t="s">
        <v>89</v>
      </c>
    </row>
    <row r="288" spans="1:11" ht="15" thickBot="1" x14ac:dyDescent="0.4">
      <c r="A288" s="469" t="s">
        <v>594</v>
      </c>
      <c r="B288" s="470"/>
      <c r="C288" s="183"/>
      <c r="D288" s="150">
        <v>608149</v>
      </c>
      <c r="E288" s="150">
        <v>245540</v>
      </c>
      <c r="F288" s="150">
        <v>245540</v>
      </c>
      <c r="G288" s="218" t="s">
        <v>764</v>
      </c>
      <c r="H288" s="245" t="s">
        <v>765</v>
      </c>
      <c r="I288" s="531"/>
      <c r="J288" s="531"/>
      <c r="K288" s="531"/>
    </row>
    <row r="289" spans="1:11" ht="15" thickBot="1" x14ac:dyDescent="0.4">
      <c r="A289" s="490" t="s">
        <v>92</v>
      </c>
      <c r="B289" s="491"/>
      <c r="C289" s="185"/>
      <c r="D289" s="115" t="s">
        <v>902</v>
      </c>
      <c r="E289" s="115" t="s">
        <v>1006</v>
      </c>
      <c r="F289" s="115" t="s">
        <v>850</v>
      </c>
      <c r="G289" s="213" t="s">
        <v>754</v>
      </c>
      <c r="H289" s="530" t="s">
        <v>89</v>
      </c>
      <c r="I289" s="530" t="s">
        <v>89</v>
      </c>
      <c r="J289" s="530" t="s">
        <v>89</v>
      </c>
      <c r="K289" s="530" t="s">
        <v>89</v>
      </c>
    </row>
    <row r="290" spans="1:11" ht="15" thickBot="1" x14ac:dyDescent="0.4">
      <c r="A290" s="469" t="s">
        <v>596</v>
      </c>
      <c r="B290" s="470"/>
      <c r="C290" s="183"/>
      <c r="D290" s="150">
        <v>183586</v>
      </c>
      <c r="E290" s="150">
        <v>53177</v>
      </c>
      <c r="F290" s="150">
        <v>54120</v>
      </c>
      <c r="G290" s="218" t="s">
        <v>764</v>
      </c>
      <c r="H290" s="531"/>
      <c r="I290" s="531"/>
      <c r="J290" s="531"/>
      <c r="K290" s="531"/>
    </row>
    <row r="291" spans="1:11" ht="15" thickBot="1" x14ac:dyDescent="0.4">
      <c r="A291" s="490" t="s">
        <v>92</v>
      </c>
      <c r="B291" s="491"/>
      <c r="C291" s="185"/>
      <c r="D291" s="115" t="s">
        <v>902</v>
      </c>
      <c r="E291" s="115" t="s">
        <v>1058</v>
      </c>
      <c r="F291" s="115" t="s">
        <v>1028</v>
      </c>
      <c r="G291" s="213" t="s">
        <v>754</v>
      </c>
      <c r="H291" s="530" t="s">
        <v>89</v>
      </c>
      <c r="I291" s="530" t="s">
        <v>89</v>
      </c>
      <c r="J291" s="530" t="s">
        <v>89</v>
      </c>
      <c r="K291" s="530" t="s">
        <v>89</v>
      </c>
    </row>
    <row r="292" spans="1:11" ht="15" thickBot="1" x14ac:dyDescent="0.4">
      <c r="A292" s="469" t="s">
        <v>598</v>
      </c>
      <c r="B292" s="470"/>
      <c r="C292" s="183"/>
      <c r="D292" s="150" t="s">
        <v>89</v>
      </c>
      <c r="E292" s="150" t="s">
        <v>89</v>
      </c>
      <c r="F292" s="150" t="s">
        <v>89</v>
      </c>
      <c r="G292" s="218" t="s">
        <v>770</v>
      </c>
      <c r="H292" s="531"/>
      <c r="I292" s="531"/>
      <c r="J292" s="531"/>
      <c r="K292" s="531"/>
    </row>
    <row r="293" spans="1:11" ht="15" thickBot="1" x14ac:dyDescent="0.4">
      <c r="A293" s="490" t="s">
        <v>92</v>
      </c>
      <c r="B293" s="491"/>
      <c r="C293" s="185"/>
      <c r="D293" s="115" t="s">
        <v>89</v>
      </c>
      <c r="E293" s="115" t="s">
        <v>89</v>
      </c>
      <c r="F293" s="115" t="s">
        <v>89</v>
      </c>
      <c r="G293" s="213" t="s">
        <v>754</v>
      </c>
      <c r="H293" s="530" t="s">
        <v>89</v>
      </c>
      <c r="I293" s="530" t="s">
        <v>89</v>
      </c>
      <c r="J293" s="530" t="s">
        <v>89</v>
      </c>
      <c r="K293" s="530" t="s">
        <v>89</v>
      </c>
    </row>
    <row r="294" spans="1:11" ht="15" thickBot="1" x14ac:dyDescent="0.4">
      <c r="A294" s="469" t="s">
        <v>600</v>
      </c>
      <c r="B294" s="470"/>
      <c r="C294" s="183"/>
      <c r="D294" s="150">
        <v>2151705</v>
      </c>
      <c r="E294" s="150">
        <v>2064538</v>
      </c>
      <c r="F294" s="150">
        <v>2038874</v>
      </c>
      <c r="G294" s="218" t="s">
        <v>773</v>
      </c>
      <c r="H294" s="531"/>
      <c r="I294" s="531"/>
      <c r="J294" s="531"/>
      <c r="K294" s="531"/>
    </row>
    <row r="295" spans="1:11" ht="15" thickBot="1" x14ac:dyDescent="0.4">
      <c r="A295" s="490" t="s">
        <v>92</v>
      </c>
      <c r="B295" s="491"/>
      <c r="C295" s="185"/>
      <c r="D295" s="115" t="s">
        <v>1059</v>
      </c>
      <c r="E295" s="115" t="s">
        <v>951</v>
      </c>
      <c r="F295" s="115" t="s">
        <v>980</v>
      </c>
      <c r="G295" s="532" t="s">
        <v>89</v>
      </c>
      <c r="H295" s="530" t="s">
        <v>89</v>
      </c>
      <c r="I295" s="530" t="s">
        <v>89</v>
      </c>
      <c r="J295" s="530" t="s">
        <v>89</v>
      </c>
      <c r="K295" s="530" t="s">
        <v>89</v>
      </c>
    </row>
    <row r="296" spans="1:11" ht="15" thickBot="1" x14ac:dyDescent="0.4">
      <c r="A296" s="469" t="s">
        <v>602</v>
      </c>
      <c r="B296" s="470"/>
      <c r="C296" s="183"/>
      <c r="D296" s="150" t="s">
        <v>89</v>
      </c>
      <c r="E296" s="150" t="s">
        <v>89</v>
      </c>
      <c r="F296" s="150" t="s">
        <v>89</v>
      </c>
      <c r="G296" s="533"/>
      <c r="H296" s="531"/>
      <c r="I296" s="531"/>
      <c r="J296" s="531"/>
      <c r="K296" s="531"/>
    </row>
    <row r="297" spans="1:11" ht="15" thickBot="1" x14ac:dyDescent="0.4">
      <c r="A297" s="490" t="s">
        <v>92</v>
      </c>
      <c r="B297" s="491"/>
      <c r="C297" s="185"/>
      <c r="D297" s="115" t="s">
        <v>89</v>
      </c>
      <c r="E297" s="115" t="s">
        <v>89</v>
      </c>
      <c r="F297" s="115" t="s">
        <v>89</v>
      </c>
      <c r="G297" s="532" t="s">
        <v>89</v>
      </c>
      <c r="H297" s="530" t="s">
        <v>89</v>
      </c>
      <c r="I297" s="530" t="s">
        <v>89</v>
      </c>
      <c r="J297" s="530" t="s">
        <v>89</v>
      </c>
      <c r="K297" s="530" t="s">
        <v>89</v>
      </c>
    </row>
    <row r="298" spans="1:11" ht="15" thickBot="1" x14ac:dyDescent="0.4">
      <c r="A298" s="469" t="s">
        <v>604</v>
      </c>
      <c r="B298" s="470"/>
      <c r="C298" s="183"/>
      <c r="D298" s="150">
        <v>143818</v>
      </c>
      <c r="E298" s="150">
        <v>88799</v>
      </c>
      <c r="F298" s="150">
        <v>166039</v>
      </c>
      <c r="G298" s="533"/>
      <c r="H298" s="531"/>
      <c r="I298" s="531"/>
      <c r="J298" s="531"/>
      <c r="K298" s="531"/>
    </row>
    <row r="299" spans="1:11" ht="15" thickBot="1" x14ac:dyDescent="0.4">
      <c r="A299" s="490" t="s">
        <v>92</v>
      </c>
      <c r="B299" s="491"/>
      <c r="C299" s="185"/>
      <c r="D299" s="115" t="s">
        <v>1007</v>
      </c>
      <c r="E299" s="115" t="s">
        <v>1008</v>
      </c>
      <c r="F299" s="115" t="s">
        <v>1009</v>
      </c>
      <c r="G299" s="532" t="s">
        <v>89</v>
      </c>
      <c r="H299" s="530" t="s">
        <v>89</v>
      </c>
      <c r="I299" s="530" t="s">
        <v>89</v>
      </c>
      <c r="J299" s="530" t="s">
        <v>89</v>
      </c>
      <c r="K299" s="530" t="s">
        <v>89</v>
      </c>
    </row>
    <row r="300" spans="1:11" ht="15" thickBot="1" x14ac:dyDescent="0.4">
      <c r="A300" s="469" t="s">
        <v>606</v>
      </c>
      <c r="B300" s="470"/>
      <c r="C300" s="183"/>
      <c r="D300" s="150" t="s">
        <v>89</v>
      </c>
      <c r="E300" s="150" t="s">
        <v>89</v>
      </c>
      <c r="F300" s="150" t="s">
        <v>89</v>
      </c>
      <c r="G300" s="533"/>
      <c r="H300" s="531"/>
      <c r="I300" s="531"/>
      <c r="J300" s="531"/>
      <c r="K300" s="531"/>
    </row>
    <row r="301" spans="1:11" ht="15" thickBot="1" x14ac:dyDescent="0.4">
      <c r="A301" s="490" t="s">
        <v>92</v>
      </c>
      <c r="B301" s="491"/>
      <c r="C301" s="185"/>
      <c r="D301" s="115" t="s">
        <v>89</v>
      </c>
      <c r="E301" s="115" t="s">
        <v>89</v>
      </c>
      <c r="F301" s="115" t="s">
        <v>89</v>
      </c>
      <c r="G301" s="532" t="s">
        <v>89</v>
      </c>
      <c r="H301" s="530" t="s">
        <v>89</v>
      </c>
      <c r="I301" s="530" t="s">
        <v>89</v>
      </c>
      <c r="J301" s="530" t="s">
        <v>89</v>
      </c>
      <c r="K301" s="530" t="s">
        <v>89</v>
      </c>
    </row>
    <row r="302" spans="1:11" ht="15" thickBot="1" x14ac:dyDescent="0.4">
      <c r="A302" s="469" t="s">
        <v>608</v>
      </c>
      <c r="B302" s="470"/>
      <c r="C302" s="183"/>
      <c r="D302" s="150" t="s">
        <v>89</v>
      </c>
      <c r="E302" s="150" t="s">
        <v>89</v>
      </c>
      <c r="F302" s="150" t="s">
        <v>89</v>
      </c>
      <c r="G302" s="533"/>
      <c r="H302" s="531"/>
      <c r="I302" s="531"/>
      <c r="J302" s="531"/>
      <c r="K302" s="531"/>
    </row>
    <row r="303" spans="1:11" ht="15" thickBot="1" x14ac:dyDescent="0.4">
      <c r="A303" s="490" t="s">
        <v>92</v>
      </c>
      <c r="B303" s="491"/>
      <c r="C303" s="185"/>
      <c r="D303" s="115" t="s">
        <v>89</v>
      </c>
      <c r="E303" s="115" t="s">
        <v>89</v>
      </c>
      <c r="F303" s="115" t="s">
        <v>89</v>
      </c>
      <c r="G303" s="532" t="s">
        <v>89</v>
      </c>
      <c r="H303" s="530" t="s">
        <v>89</v>
      </c>
      <c r="I303" s="530" t="s">
        <v>89</v>
      </c>
      <c r="J303" s="530" t="s">
        <v>89</v>
      </c>
      <c r="K303" s="530" t="s">
        <v>89</v>
      </c>
    </row>
    <row r="304" spans="1:11" ht="15" thickBot="1" x14ac:dyDescent="0.4">
      <c r="A304" s="469" t="s">
        <v>610</v>
      </c>
      <c r="B304" s="470"/>
      <c r="C304" s="183"/>
      <c r="D304" s="150" t="s">
        <v>89</v>
      </c>
      <c r="E304" s="150" t="s">
        <v>89</v>
      </c>
      <c r="F304" s="150" t="s">
        <v>89</v>
      </c>
      <c r="G304" s="533"/>
      <c r="H304" s="531"/>
      <c r="I304" s="531"/>
      <c r="J304" s="531"/>
      <c r="K304" s="531"/>
    </row>
    <row r="305" spans="1:11" ht="15" thickBot="1" x14ac:dyDescent="0.4">
      <c r="A305" s="490" t="s">
        <v>92</v>
      </c>
      <c r="B305" s="491"/>
      <c r="C305" s="185"/>
      <c r="D305" s="115" t="s">
        <v>89</v>
      </c>
      <c r="E305" s="115" t="s">
        <v>89</v>
      </c>
      <c r="F305" s="115" t="s">
        <v>89</v>
      </c>
      <c r="G305" s="213" t="s">
        <v>776</v>
      </c>
      <c r="H305" s="238" t="s">
        <v>777</v>
      </c>
      <c r="I305" s="238" t="s">
        <v>776</v>
      </c>
      <c r="J305" s="238" t="s">
        <v>777</v>
      </c>
      <c r="K305" s="238" t="s">
        <v>777</v>
      </c>
    </row>
    <row r="306" spans="1:11" ht="15" thickBot="1" x14ac:dyDescent="0.4">
      <c r="A306" s="469" t="s">
        <v>612</v>
      </c>
      <c r="B306" s="470"/>
      <c r="C306" s="183"/>
      <c r="D306" s="150" t="s">
        <v>89</v>
      </c>
      <c r="E306" s="150" t="s">
        <v>89</v>
      </c>
      <c r="F306" s="150" t="s">
        <v>89</v>
      </c>
      <c r="G306" s="218" t="s">
        <v>779</v>
      </c>
      <c r="H306" s="245" t="s">
        <v>779</v>
      </c>
      <c r="I306" s="245" t="s">
        <v>780</v>
      </c>
      <c r="J306" s="245" t="s">
        <v>781</v>
      </c>
      <c r="K306" s="245" t="s">
        <v>782</v>
      </c>
    </row>
    <row r="307" spans="1:11" ht="15" thickBot="1" x14ac:dyDescent="0.4">
      <c r="A307" s="490" t="s">
        <v>92</v>
      </c>
      <c r="B307" s="491"/>
      <c r="C307" s="185"/>
      <c r="D307" s="115" t="s">
        <v>89</v>
      </c>
      <c r="E307" s="115" t="s">
        <v>89</v>
      </c>
      <c r="F307" s="115" t="s">
        <v>89</v>
      </c>
      <c r="G307" s="213" t="s">
        <v>776</v>
      </c>
      <c r="H307" s="238" t="s">
        <v>776</v>
      </c>
      <c r="I307" s="238" t="s">
        <v>776</v>
      </c>
      <c r="J307" s="238" t="s">
        <v>784</v>
      </c>
      <c r="K307" s="238" t="s">
        <v>776</v>
      </c>
    </row>
    <row r="308" spans="1:11" ht="15" thickBot="1" x14ac:dyDescent="0.4">
      <c r="A308" s="469" t="s">
        <v>614</v>
      </c>
      <c r="B308" s="470"/>
      <c r="C308" s="183"/>
      <c r="D308" s="150" t="s">
        <v>89</v>
      </c>
      <c r="E308" s="150" t="s">
        <v>89</v>
      </c>
      <c r="F308" s="150" t="s">
        <v>89</v>
      </c>
      <c r="G308" s="218" t="s">
        <v>786</v>
      </c>
      <c r="H308" s="245" t="s">
        <v>786</v>
      </c>
      <c r="I308" s="245" t="s">
        <v>787</v>
      </c>
      <c r="J308" s="245" t="s">
        <v>788</v>
      </c>
      <c r="K308" s="245" t="s">
        <v>782</v>
      </c>
    </row>
    <row r="309" spans="1:11" ht="15" thickBot="1" x14ac:dyDescent="0.4">
      <c r="A309" s="490" t="s">
        <v>92</v>
      </c>
      <c r="B309" s="491"/>
      <c r="C309" s="185"/>
      <c r="D309" s="115" t="s">
        <v>89</v>
      </c>
      <c r="E309" s="115" t="s">
        <v>89</v>
      </c>
      <c r="F309" s="115" t="s">
        <v>89</v>
      </c>
      <c r="G309" s="213" t="s">
        <v>776</v>
      </c>
      <c r="H309" s="238" t="s">
        <v>776</v>
      </c>
      <c r="I309" s="238" t="s">
        <v>776</v>
      </c>
      <c r="J309" s="238" t="s">
        <v>776</v>
      </c>
      <c r="K309" s="238" t="s">
        <v>777</v>
      </c>
    </row>
    <row r="310" spans="1:11" ht="15" thickBot="1" x14ac:dyDescent="0.4">
      <c r="A310" s="469" t="s">
        <v>616</v>
      </c>
      <c r="B310" s="470"/>
      <c r="C310" s="183"/>
      <c r="D310" s="150">
        <v>1205454</v>
      </c>
      <c r="E310" s="150">
        <v>1234042</v>
      </c>
      <c r="F310" s="150">
        <v>742460</v>
      </c>
      <c r="G310" s="218" t="s">
        <v>791</v>
      </c>
      <c r="H310" s="245" t="s">
        <v>792</v>
      </c>
      <c r="I310" s="245" t="s">
        <v>792</v>
      </c>
      <c r="J310" s="245" t="s">
        <v>793</v>
      </c>
      <c r="K310" s="245" t="s">
        <v>794</v>
      </c>
    </row>
    <row r="311" spans="1:11" ht="15" thickBot="1" x14ac:dyDescent="0.4">
      <c r="A311" s="490" t="s">
        <v>92</v>
      </c>
      <c r="B311" s="491"/>
      <c r="C311" s="185"/>
      <c r="D311" s="115" t="s">
        <v>998</v>
      </c>
      <c r="E311" s="115" t="s">
        <v>999</v>
      </c>
      <c r="F311" s="115" t="s">
        <v>1000</v>
      </c>
      <c r="G311" s="532" t="s">
        <v>89</v>
      </c>
      <c r="H311" s="530" t="s">
        <v>89</v>
      </c>
      <c r="I311" s="530" t="s">
        <v>89</v>
      </c>
      <c r="J311" s="530" t="s">
        <v>89</v>
      </c>
      <c r="K311" s="530" t="s">
        <v>89</v>
      </c>
    </row>
    <row r="312" spans="1:11" ht="15" thickBot="1" x14ac:dyDescent="0.4">
      <c r="A312" s="469" t="s">
        <v>618</v>
      </c>
      <c r="B312" s="470"/>
      <c r="C312" s="183"/>
      <c r="D312" s="150" t="s">
        <v>89</v>
      </c>
      <c r="E312" s="150" t="s">
        <v>89</v>
      </c>
      <c r="F312" s="150" t="s">
        <v>89</v>
      </c>
      <c r="G312" s="533"/>
      <c r="H312" s="531"/>
      <c r="I312" s="531"/>
      <c r="J312" s="531"/>
      <c r="K312" s="531"/>
    </row>
    <row r="313" spans="1:11" ht="15" thickBot="1" x14ac:dyDescent="0.4">
      <c r="A313" s="490" t="s">
        <v>92</v>
      </c>
      <c r="B313" s="491"/>
      <c r="C313" s="185"/>
      <c r="D313" s="115" t="s">
        <v>89</v>
      </c>
      <c r="E313" s="115" t="s">
        <v>89</v>
      </c>
      <c r="F313" s="115" t="s">
        <v>89</v>
      </c>
      <c r="G313" s="213">
        <v>0</v>
      </c>
      <c r="H313" s="530" t="s">
        <v>89</v>
      </c>
      <c r="I313" s="238">
        <v>0</v>
      </c>
      <c r="J313" s="530" t="s">
        <v>89</v>
      </c>
      <c r="K313" s="530" t="s">
        <v>89</v>
      </c>
    </row>
    <row r="314" spans="1:11" x14ac:dyDescent="0.35">
      <c r="A314" s="469" t="s">
        <v>620</v>
      </c>
      <c r="B314" s="470"/>
      <c r="C314" s="183"/>
      <c r="D314" s="150" t="s">
        <v>89</v>
      </c>
      <c r="E314" s="150" t="s">
        <v>89</v>
      </c>
      <c r="F314" s="150" t="s">
        <v>89</v>
      </c>
      <c r="G314" s="218" t="s">
        <v>798</v>
      </c>
      <c r="H314" s="534"/>
      <c r="I314" s="245" t="s">
        <v>799</v>
      </c>
      <c r="J314" s="534"/>
      <c r="K314" s="534"/>
    </row>
    <row r="315" spans="1:11" ht="15" thickBot="1" x14ac:dyDescent="0.4">
      <c r="A315" s="490" t="s">
        <v>92</v>
      </c>
      <c r="B315" s="491"/>
      <c r="C315" s="185"/>
      <c r="D315" s="115" t="s">
        <v>89</v>
      </c>
      <c r="E315" s="115" t="s">
        <v>89</v>
      </c>
      <c r="F315" s="115" t="s">
        <v>89</v>
      </c>
      <c r="G315" s="490" t="s">
        <v>92</v>
      </c>
      <c r="H315" s="491"/>
      <c r="I315" s="246" t="s">
        <v>89</v>
      </c>
      <c r="J315" s="246" t="s">
        <v>89</v>
      </c>
      <c r="K315" s="246" t="s">
        <v>89</v>
      </c>
    </row>
    <row r="316" spans="1:11" x14ac:dyDescent="0.35">
      <c r="A316" s="469" t="s">
        <v>622</v>
      </c>
      <c r="B316" s="470"/>
      <c r="C316" s="183"/>
      <c r="D316" s="150" t="s">
        <v>89</v>
      </c>
      <c r="E316" s="150" t="s">
        <v>89</v>
      </c>
      <c r="F316" s="150" t="s">
        <v>89</v>
      </c>
      <c r="G316" s="469" t="s">
        <v>626</v>
      </c>
      <c r="H316" s="470"/>
      <c r="I316" s="247" t="s">
        <v>89</v>
      </c>
      <c r="J316" s="247" t="s">
        <v>89</v>
      </c>
      <c r="K316" s="247" t="s">
        <v>89</v>
      </c>
    </row>
    <row r="317" spans="1:11" ht="15" thickBot="1" x14ac:dyDescent="0.4">
      <c r="A317" s="490" t="s">
        <v>92</v>
      </c>
      <c r="B317" s="491"/>
      <c r="C317" s="185"/>
      <c r="D317" s="115" t="s">
        <v>89</v>
      </c>
      <c r="E317" s="115" t="s">
        <v>89</v>
      </c>
      <c r="F317" s="115" t="s">
        <v>89</v>
      </c>
      <c r="G317" s="490" t="s">
        <v>92</v>
      </c>
      <c r="H317" s="491"/>
      <c r="I317" s="246" t="s">
        <v>89</v>
      </c>
      <c r="J317" s="246" t="s">
        <v>89</v>
      </c>
      <c r="K317" s="246" t="s">
        <v>89</v>
      </c>
    </row>
    <row r="318" spans="1:11" x14ac:dyDescent="0.35">
      <c r="A318" s="469" t="s">
        <v>624</v>
      </c>
      <c r="B318" s="470"/>
      <c r="C318" s="183"/>
      <c r="D318" s="150" t="s">
        <v>89</v>
      </c>
      <c r="E318" s="150" t="s">
        <v>89</v>
      </c>
      <c r="F318" s="150" t="s">
        <v>89</v>
      </c>
      <c r="G318" s="469" t="s">
        <v>628</v>
      </c>
      <c r="H318" s="470"/>
      <c r="I318" s="247" t="s">
        <v>89</v>
      </c>
      <c r="J318" s="247" t="s">
        <v>89</v>
      </c>
      <c r="K318" s="247" t="s">
        <v>89</v>
      </c>
    </row>
    <row r="319" spans="1:11" ht="15.75" customHeight="1" thickBot="1" x14ac:dyDescent="0.4">
      <c r="A319" s="490" t="s">
        <v>92</v>
      </c>
      <c r="B319" s="491"/>
      <c r="C319" s="185"/>
      <c r="D319" s="115" t="s">
        <v>89</v>
      </c>
      <c r="E319" s="115" t="s">
        <v>89</v>
      </c>
      <c r="F319" s="115" t="s">
        <v>89</v>
      </c>
      <c r="G319" s="490" t="s">
        <v>92</v>
      </c>
      <c r="H319" s="491"/>
      <c r="I319" s="246" t="s">
        <v>89</v>
      </c>
      <c r="J319" s="246" t="s">
        <v>89</v>
      </c>
      <c r="K319" s="246" t="s">
        <v>89</v>
      </c>
    </row>
    <row r="320" spans="1:11" ht="15.75" customHeight="1" x14ac:dyDescent="0.35">
      <c r="A320" s="469" t="s">
        <v>626</v>
      </c>
      <c r="B320" s="470"/>
      <c r="C320" s="183"/>
      <c r="D320" s="150" t="s">
        <v>89</v>
      </c>
      <c r="E320" s="150" t="s">
        <v>89</v>
      </c>
      <c r="F320" s="150" t="s">
        <v>89</v>
      </c>
      <c r="G320" s="469" t="s">
        <v>630</v>
      </c>
      <c r="H320" s="470"/>
      <c r="I320" s="247" t="s">
        <v>89</v>
      </c>
      <c r="J320" s="247" t="s">
        <v>89</v>
      </c>
      <c r="K320" s="247" t="s">
        <v>89</v>
      </c>
    </row>
    <row r="321" spans="1:11" ht="15" thickBot="1" x14ac:dyDescent="0.4">
      <c r="A321" s="490" t="s">
        <v>92</v>
      </c>
      <c r="B321" s="491"/>
      <c r="C321" s="185"/>
      <c r="D321" s="115" t="s">
        <v>89</v>
      </c>
      <c r="E321" s="115" t="s">
        <v>89</v>
      </c>
      <c r="F321" s="115" t="s">
        <v>89</v>
      </c>
      <c r="G321" s="490" t="s">
        <v>92</v>
      </c>
      <c r="H321" s="491"/>
      <c r="I321" s="246" t="s">
        <v>89</v>
      </c>
      <c r="J321" s="246" t="s">
        <v>89</v>
      </c>
      <c r="K321" s="246" t="s">
        <v>89</v>
      </c>
    </row>
    <row r="322" spans="1:11" x14ac:dyDescent="0.35">
      <c r="A322" s="469" t="s">
        <v>628</v>
      </c>
      <c r="B322" s="470"/>
      <c r="C322" s="183"/>
      <c r="D322" s="150" t="s">
        <v>89</v>
      </c>
      <c r="E322" s="150" t="s">
        <v>89</v>
      </c>
      <c r="F322" s="150" t="s">
        <v>89</v>
      </c>
      <c r="G322" s="469" t="s">
        <v>632</v>
      </c>
      <c r="H322" s="470"/>
      <c r="I322" s="247" t="s">
        <v>89</v>
      </c>
      <c r="J322" s="247">
        <v>468.5</v>
      </c>
      <c r="K322" s="247">
        <v>482</v>
      </c>
    </row>
    <row r="323" spans="1:11" ht="15" thickBot="1" x14ac:dyDescent="0.4">
      <c r="A323" s="490" t="s">
        <v>92</v>
      </c>
      <c r="B323" s="491"/>
      <c r="C323" s="185"/>
      <c r="D323" s="115" t="s">
        <v>89</v>
      </c>
      <c r="E323" s="115" t="s">
        <v>89</v>
      </c>
      <c r="F323" s="115" t="s">
        <v>89</v>
      </c>
      <c r="G323" s="490" t="s">
        <v>92</v>
      </c>
      <c r="H323" s="491"/>
      <c r="I323" s="246" t="s">
        <v>89</v>
      </c>
      <c r="J323" s="246" t="s">
        <v>89</v>
      </c>
      <c r="K323" s="246" t="s">
        <v>1001</v>
      </c>
    </row>
    <row r="324" spans="1:11" x14ac:dyDescent="0.35">
      <c r="A324" s="469" t="s">
        <v>630</v>
      </c>
      <c r="B324" s="470"/>
      <c r="C324" s="183"/>
      <c r="D324" s="150" t="s">
        <v>89</v>
      </c>
      <c r="E324" s="150" t="s">
        <v>89</v>
      </c>
      <c r="F324" s="150" t="s">
        <v>89</v>
      </c>
      <c r="G324" s="469" t="s">
        <v>634</v>
      </c>
      <c r="H324" s="470"/>
      <c r="I324" s="247">
        <v>1</v>
      </c>
      <c r="J324" s="247">
        <v>-0.2</v>
      </c>
      <c r="K324" s="247">
        <v>0.2</v>
      </c>
    </row>
    <row r="325" spans="1:11" ht="15" thickBot="1" x14ac:dyDescent="0.4">
      <c r="A325" s="490" t="s">
        <v>92</v>
      </c>
      <c r="B325" s="491"/>
      <c r="C325" s="185"/>
      <c r="D325" s="115" t="s">
        <v>89</v>
      </c>
      <c r="E325" s="115" t="s">
        <v>89</v>
      </c>
      <c r="F325" s="115" t="s">
        <v>89</v>
      </c>
      <c r="G325" s="490" t="s">
        <v>92</v>
      </c>
      <c r="H325" s="491"/>
      <c r="I325" s="246" t="s">
        <v>1060</v>
      </c>
      <c r="J325" s="246" t="s">
        <v>904</v>
      </c>
      <c r="K325" s="246" t="s">
        <v>902</v>
      </c>
    </row>
    <row r="326" spans="1:11" x14ac:dyDescent="0.35">
      <c r="A326" s="469" t="s">
        <v>632</v>
      </c>
      <c r="B326" s="470"/>
      <c r="C326" s="183"/>
      <c r="D326" s="150">
        <v>11208632</v>
      </c>
      <c r="E326" s="150">
        <v>10462408</v>
      </c>
      <c r="F326" s="150">
        <v>9915583</v>
      </c>
      <c r="G326" s="469" t="s">
        <v>636</v>
      </c>
      <c r="H326" s="470"/>
      <c r="I326" s="247">
        <v>0.9</v>
      </c>
      <c r="J326" s="247">
        <v>1.2</v>
      </c>
      <c r="K326" s="247">
        <v>-5.9</v>
      </c>
    </row>
    <row r="327" spans="1:11" ht="15" thickBot="1" x14ac:dyDescent="0.4">
      <c r="A327" s="490" t="s">
        <v>92</v>
      </c>
      <c r="B327" s="491"/>
      <c r="C327" s="185"/>
      <c r="D327" s="115" t="s">
        <v>1001</v>
      </c>
      <c r="E327" s="115" t="s">
        <v>95</v>
      </c>
      <c r="F327" s="115" t="s">
        <v>1002</v>
      </c>
      <c r="G327" s="490" t="s">
        <v>92</v>
      </c>
      <c r="H327" s="491"/>
      <c r="I327" s="246" t="s">
        <v>1051</v>
      </c>
      <c r="J327" s="246" t="s">
        <v>1061</v>
      </c>
      <c r="K327" s="246" t="s">
        <v>904</v>
      </c>
    </row>
    <row r="328" spans="1:11" x14ac:dyDescent="0.35">
      <c r="A328" s="469" t="s">
        <v>634</v>
      </c>
      <c r="B328" s="470"/>
      <c r="C328" s="183"/>
      <c r="D328" s="150">
        <v>3882</v>
      </c>
      <c r="E328" s="150">
        <v>-45044</v>
      </c>
      <c r="F328" s="150">
        <v>-24476</v>
      </c>
      <c r="G328" s="469" t="s">
        <v>638</v>
      </c>
      <c r="H328" s="470"/>
      <c r="I328" s="247" t="s">
        <v>89</v>
      </c>
      <c r="J328" s="247" t="s">
        <v>89</v>
      </c>
      <c r="K328" s="247" t="s">
        <v>89</v>
      </c>
    </row>
    <row r="329" spans="1:11" ht="15" thickBot="1" x14ac:dyDescent="0.4">
      <c r="A329" s="490" t="s">
        <v>92</v>
      </c>
      <c r="B329" s="491"/>
      <c r="C329" s="185"/>
      <c r="D329" s="115" t="s">
        <v>902</v>
      </c>
      <c r="E329" s="115" t="s">
        <v>904</v>
      </c>
      <c r="F329" s="115" t="s">
        <v>1062</v>
      </c>
      <c r="G329" s="490" t="s">
        <v>92</v>
      </c>
      <c r="H329" s="491"/>
      <c r="I329" s="246" t="s">
        <v>89</v>
      </c>
      <c r="J329" s="246" t="s">
        <v>89</v>
      </c>
      <c r="K329" s="246" t="s">
        <v>89</v>
      </c>
    </row>
    <row r="330" spans="1:11" x14ac:dyDescent="0.35">
      <c r="A330" s="469" t="s">
        <v>636</v>
      </c>
      <c r="B330" s="470"/>
      <c r="C330" s="183"/>
      <c r="D330" s="150">
        <v>-136795</v>
      </c>
      <c r="E330" s="150">
        <v>-100059</v>
      </c>
      <c r="F330" s="150">
        <v>-61552</v>
      </c>
      <c r="G330" s="469" t="s">
        <v>640</v>
      </c>
      <c r="H330" s="470"/>
      <c r="I330" s="247" t="s">
        <v>89</v>
      </c>
      <c r="J330" s="247" t="s">
        <v>89</v>
      </c>
      <c r="K330" s="247" t="s">
        <v>89</v>
      </c>
    </row>
    <row r="331" spans="1:11" ht="15" thickBot="1" x14ac:dyDescent="0.4">
      <c r="A331" s="490" t="s">
        <v>92</v>
      </c>
      <c r="B331" s="491"/>
      <c r="C331" s="185"/>
      <c r="D331" s="115" t="s">
        <v>904</v>
      </c>
      <c r="E331" s="115" t="s">
        <v>1034</v>
      </c>
      <c r="F331" s="115" t="s">
        <v>1035</v>
      </c>
      <c r="G331" s="490" t="s">
        <v>92</v>
      </c>
      <c r="H331" s="491"/>
      <c r="I331" s="246" t="s">
        <v>89</v>
      </c>
      <c r="J331" s="246" t="s">
        <v>89</v>
      </c>
      <c r="K331" s="246" t="s">
        <v>89</v>
      </c>
    </row>
    <row r="332" spans="1:11" x14ac:dyDescent="0.35">
      <c r="A332" s="469" t="s">
        <v>638</v>
      </c>
      <c r="B332" s="470"/>
      <c r="C332" s="183"/>
      <c r="D332" s="150" t="s">
        <v>89</v>
      </c>
      <c r="E332" s="150" t="s">
        <v>89</v>
      </c>
      <c r="F332" s="150" t="s">
        <v>89</v>
      </c>
      <c r="G332" s="469" t="s">
        <v>642</v>
      </c>
      <c r="H332" s="470"/>
      <c r="I332" s="247" t="s">
        <v>89</v>
      </c>
      <c r="J332" s="247" t="s">
        <v>89</v>
      </c>
      <c r="K332" s="247" t="s">
        <v>89</v>
      </c>
    </row>
    <row r="333" spans="1:11" ht="15" thickBot="1" x14ac:dyDescent="0.4">
      <c r="A333" s="490" t="s">
        <v>92</v>
      </c>
      <c r="B333" s="491"/>
      <c r="C333" s="185"/>
      <c r="D333" s="115" t="s">
        <v>89</v>
      </c>
      <c r="E333" s="115" t="s">
        <v>89</v>
      </c>
      <c r="F333" s="115" t="s">
        <v>89</v>
      </c>
      <c r="G333" s="490" t="s">
        <v>92</v>
      </c>
      <c r="H333" s="491"/>
      <c r="I333" s="246" t="s">
        <v>89</v>
      </c>
      <c r="J333" s="246" t="s">
        <v>89</v>
      </c>
      <c r="K333" s="246" t="s">
        <v>89</v>
      </c>
    </row>
    <row r="334" spans="1:11" x14ac:dyDescent="0.35">
      <c r="A334" s="469" t="s">
        <v>640</v>
      </c>
      <c r="B334" s="470"/>
      <c r="C334" s="183"/>
      <c r="D334" s="150" t="s">
        <v>89</v>
      </c>
      <c r="E334" s="150" t="s">
        <v>89</v>
      </c>
      <c r="F334" s="150" t="s">
        <v>89</v>
      </c>
      <c r="G334" s="469" t="s">
        <v>644</v>
      </c>
      <c r="H334" s="470"/>
      <c r="I334" s="247" t="s">
        <v>89</v>
      </c>
      <c r="J334" s="247" t="s">
        <v>89</v>
      </c>
      <c r="K334" s="247" t="s">
        <v>89</v>
      </c>
    </row>
    <row r="335" spans="1:11" ht="15" thickBot="1" x14ac:dyDescent="0.4">
      <c r="A335" s="490" t="s">
        <v>92</v>
      </c>
      <c r="B335" s="491"/>
      <c r="C335" s="185"/>
      <c r="D335" s="115" t="s">
        <v>89</v>
      </c>
      <c r="E335" s="115" t="s">
        <v>89</v>
      </c>
      <c r="F335" s="115" t="s">
        <v>89</v>
      </c>
      <c r="G335" s="490" t="s">
        <v>92</v>
      </c>
      <c r="H335" s="491"/>
      <c r="I335" s="246" t="s">
        <v>89</v>
      </c>
      <c r="J335" s="246" t="s">
        <v>89</v>
      </c>
      <c r="K335" s="246" t="s">
        <v>89</v>
      </c>
    </row>
    <row r="336" spans="1:11" x14ac:dyDescent="0.35">
      <c r="A336" s="469" t="s">
        <v>642</v>
      </c>
      <c r="B336" s="470"/>
      <c r="C336" s="183"/>
      <c r="D336" s="150" t="s">
        <v>89</v>
      </c>
      <c r="E336" s="150" t="s">
        <v>89</v>
      </c>
      <c r="F336" s="150" t="s">
        <v>89</v>
      </c>
      <c r="G336" s="469" t="s">
        <v>646</v>
      </c>
      <c r="H336" s="470"/>
      <c r="I336" s="247" t="s">
        <v>89</v>
      </c>
      <c r="J336" s="247" t="s">
        <v>89</v>
      </c>
      <c r="K336" s="247" t="s">
        <v>89</v>
      </c>
    </row>
    <row r="337" spans="1:11" ht="15" thickBot="1" x14ac:dyDescent="0.4">
      <c r="A337" s="490" t="s">
        <v>92</v>
      </c>
      <c r="B337" s="491"/>
      <c r="C337" s="185"/>
      <c r="D337" s="115" t="s">
        <v>89</v>
      </c>
      <c r="E337" s="115" t="s">
        <v>89</v>
      </c>
      <c r="F337" s="115" t="s">
        <v>89</v>
      </c>
      <c r="G337" s="490" t="s">
        <v>92</v>
      </c>
      <c r="H337" s="491"/>
      <c r="I337" s="246" t="s">
        <v>89</v>
      </c>
      <c r="J337" s="246" t="s">
        <v>89</v>
      </c>
      <c r="K337" s="246" t="s">
        <v>89</v>
      </c>
    </row>
    <row r="338" spans="1:11" x14ac:dyDescent="0.35">
      <c r="A338" s="469" t="s">
        <v>644</v>
      </c>
      <c r="B338" s="470"/>
      <c r="C338" s="183"/>
      <c r="D338" s="150" t="s">
        <v>89</v>
      </c>
      <c r="E338" s="150" t="s">
        <v>89</v>
      </c>
      <c r="F338" s="150" t="s">
        <v>89</v>
      </c>
      <c r="G338" s="469" t="s">
        <v>648</v>
      </c>
      <c r="H338" s="470"/>
      <c r="I338" s="247" t="s">
        <v>89</v>
      </c>
      <c r="J338" s="247" t="s">
        <v>89</v>
      </c>
      <c r="K338" s="247" t="s">
        <v>89</v>
      </c>
    </row>
    <row r="339" spans="1:11" ht="15" thickBot="1" x14ac:dyDescent="0.4">
      <c r="A339" s="490" t="s">
        <v>92</v>
      </c>
      <c r="B339" s="491"/>
      <c r="C339" s="185"/>
      <c r="D339" s="115" t="s">
        <v>89</v>
      </c>
      <c r="E339" s="115" t="s">
        <v>89</v>
      </c>
      <c r="F339" s="115" t="s">
        <v>89</v>
      </c>
      <c r="G339" s="490" t="s">
        <v>92</v>
      </c>
      <c r="H339" s="491"/>
      <c r="I339" s="246" t="s">
        <v>89</v>
      </c>
      <c r="J339" s="246" t="s">
        <v>89</v>
      </c>
      <c r="K339" s="246" t="s">
        <v>89</v>
      </c>
    </row>
    <row r="340" spans="1:11" x14ac:dyDescent="0.35">
      <c r="A340" s="469" t="s">
        <v>646</v>
      </c>
      <c r="B340" s="470"/>
      <c r="C340" s="183"/>
      <c r="D340" s="150" t="s">
        <v>89</v>
      </c>
      <c r="E340" s="150" t="s">
        <v>89</v>
      </c>
      <c r="F340" s="150" t="s">
        <v>89</v>
      </c>
      <c r="G340" s="469" t="s">
        <v>650</v>
      </c>
      <c r="H340" s="470"/>
      <c r="I340" s="247" t="s">
        <v>89</v>
      </c>
      <c r="J340" s="247" t="s">
        <v>89</v>
      </c>
      <c r="K340" s="247" t="s">
        <v>89</v>
      </c>
    </row>
    <row r="341" spans="1:11" ht="15" thickBot="1" x14ac:dyDescent="0.4">
      <c r="A341" s="490" t="s">
        <v>92</v>
      </c>
      <c r="B341" s="491"/>
      <c r="C341" s="185"/>
      <c r="D341" s="115" t="s">
        <v>89</v>
      </c>
      <c r="E341" s="115" t="s">
        <v>89</v>
      </c>
      <c r="F341" s="115" t="s">
        <v>89</v>
      </c>
      <c r="G341" s="490" t="s">
        <v>92</v>
      </c>
      <c r="H341" s="491"/>
      <c r="I341" s="246" t="s">
        <v>89</v>
      </c>
      <c r="J341" s="246" t="s">
        <v>89</v>
      </c>
      <c r="K341" s="246" t="s">
        <v>89</v>
      </c>
    </row>
    <row r="342" spans="1:11" x14ac:dyDescent="0.35">
      <c r="A342" s="469" t="s">
        <v>648</v>
      </c>
      <c r="B342" s="470"/>
      <c r="C342" s="183"/>
      <c r="D342" s="150" t="s">
        <v>89</v>
      </c>
      <c r="E342" s="150" t="s">
        <v>89</v>
      </c>
      <c r="F342" s="150" t="s">
        <v>89</v>
      </c>
      <c r="G342" s="469" t="s">
        <v>652</v>
      </c>
      <c r="H342" s="470"/>
      <c r="I342" s="247" t="s">
        <v>89</v>
      </c>
      <c r="J342" s="247" t="s">
        <v>89</v>
      </c>
      <c r="K342" s="247" t="s">
        <v>89</v>
      </c>
    </row>
    <row r="343" spans="1:11" ht="15" thickBot="1" x14ac:dyDescent="0.4">
      <c r="A343" s="490" t="s">
        <v>92</v>
      </c>
      <c r="B343" s="491"/>
      <c r="C343" s="185"/>
      <c r="D343" s="115" t="s">
        <v>89</v>
      </c>
      <c r="E343" s="115" t="s">
        <v>89</v>
      </c>
      <c r="F343" s="115" t="s">
        <v>89</v>
      </c>
      <c r="G343" s="490" t="s">
        <v>92</v>
      </c>
      <c r="H343" s="491"/>
      <c r="I343" s="246" t="s">
        <v>89</v>
      </c>
      <c r="J343" s="246" t="s">
        <v>89</v>
      </c>
      <c r="K343" s="246" t="s">
        <v>89</v>
      </c>
    </row>
    <row r="344" spans="1:11" x14ac:dyDescent="0.35">
      <c r="A344" s="469" t="s">
        <v>650</v>
      </c>
      <c r="B344" s="470"/>
      <c r="C344" s="183"/>
      <c r="D344" s="150" t="s">
        <v>89</v>
      </c>
      <c r="E344" s="150" t="s">
        <v>89</v>
      </c>
      <c r="F344" s="150" t="s">
        <v>89</v>
      </c>
      <c r="G344" s="469" t="s">
        <v>654</v>
      </c>
      <c r="H344" s="470"/>
      <c r="I344" s="247" t="s">
        <v>89</v>
      </c>
      <c r="J344" s="247" t="s">
        <v>89</v>
      </c>
      <c r="K344" s="247" t="s">
        <v>89</v>
      </c>
    </row>
    <row r="345" spans="1:11" ht="15" thickBot="1" x14ac:dyDescent="0.4">
      <c r="A345" s="490" t="s">
        <v>92</v>
      </c>
      <c r="B345" s="491"/>
      <c r="C345" s="185"/>
      <c r="D345" s="115" t="s">
        <v>89</v>
      </c>
      <c r="E345" s="115" t="s">
        <v>89</v>
      </c>
      <c r="F345" s="115" t="s">
        <v>89</v>
      </c>
      <c r="G345" s="490" t="s">
        <v>92</v>
      </c>
      <c r="H345" s="491"/>
      <c r="I345" s="246" t="s">
        <v>89</v>
      </c>
      <c r="J345" s="246" t="s">
        <v>89</v>
      </c>
      <c r="K345" s="246" t="s">
        <v>89</v>
      </c>
    </row>
    <row r="346" spans="1:11" x14ac:dyDescent="0.35">
      <c r="A346" s="469" t="s">
        <v>652</v>
      </c>
      <c r="B346" s="470"/>
      <c r="C346" s="183"/>
      <c r="D346" s="150" t="s">
        <v>89</v>
      </c>
      <c r="E346" s="150" t="s">
        <v>89</v>
      </c>
      <c r="F346" s="150" t="s">
        <v>89</v>
      </c>
      <c r="G346" s="469" t="s">
        <v>656</v>
      </c>
      <c r="H346" s="470"/>
      <c r="I346" s="247" t="s">
        <v>89</v>
      </c>
      <c r="J346" s="247" t="s">
        <v>89</v>
      </c>
      <c r="K346" s="247" t="s">
        <v>89</v>
      </c>
    </row>
    <row r="347" spans="1:11" ht="15" thickBot="1" x14ac:dyDescent="0.4">
      <c r="A347" s="490" t="s">
        <v>92</v>
      </c>
      <c r="B347" s="491"/>
      <c r="C347" s="185"/>
      <c r="D347" s="115" t="s">
        <v>89</v>
      </c>
      <c r="E347" s="115" t="s">
        <v>89</v>
      </c>
      <c r="F347" s="115" t="s">
        <v>89</v>
      </c>
      <c r="G347" s="490" t="s">
        <v>92</v>
      </c>
      <c r="H347" s="491"/>
      <c r="I347" s="246" t="s">
        <v>89</v>
      </c>
      <c r="J347" s="246" t="s">
        <v>89</v>
      </c>
      <c r="K347" s="246" t="s">
        <v>89</v>
      </c>
    </row>
    <row r="348" spans="1:11" x14ac:dyDescent="0.35">
      <c r="A348" s="469" t="s">
        <v>654</v>
      </c>
      <c r="B348" s="470"/>
      <c r="C348" s="183"/>
      <c r="D348" s="150" t="s">
        <v>89</v>
      </c>
      <c r="E348" s="150" t="s">
        <v>89</v>
      </c>
      <c r="F348" s="150" t="s">
        <v>89</v>
      </c>
      <c r="G348" s="469" t="s">
        <v>658</v>
      </c>
      <c r="H348" s="470"/>
      <c r="I348" s="247" t="s">
        <v>89</v>
      </c>
      <c r="J348" s="247" t="s">
        <v>89</v>
      </c>
      <c r="K348" s="247" t="s">
        <v>89</v>
      </c>
    </row>
    <row r="349" spans="1:11" ht="15" thickBot="1" x14ac:dyDescent="0.4">
      <c r="A349" s="490" t="s">
        <v>92</v>
      </c>
      <c r="B349" s="491"/>
      <c r="C349" s="185"/>
      <c r="D349" s="115" t="s">
        <v>89</v>
      </c>
      <c r="E349" s="115" t="s">
        <v>89</v>
      </c>
      <c r="F349" s="115" t="s">
        <v>89</v>
      </c>
      <c r="G349" s="490" t="s">
        <v>92</v>
      </c>
      <c r="H349" s="491"/>
      <c r="I349" s="246" t="s">
        <v>89</v>
      </c>
      <c r="J349" s="246" t="s">
        <v>89</v>
      </c>
      <c r="K349" s="246" t="s">
        <v>89</v>
      </c>
    </row>
    <row r="350" spans="1:11" x14ac:dyDescent="0.35">
      <c r="A350" s="469" t="s">
        <v>656</v>
      </c>
      <c r="B350" s="470"/>
      <c r="C350" s="183"/>
      <c r="D350" s="150" t="s">
        <v>89</v>
      </c>
      <c r="E350" s="150" t="s">
        <v>89</v>
      </c>
      <c r="F350" s="150" t="s">
        <v>89</v>
      </c>
      <c r="G350" s="469" t="s">
        <v>660</v>
      </c>
      <c r="H350" s="470"/>
      <c r="I350" s="247" t="s">
        <v>89</v>
      </c>
      <c r="J350" s="247" t="s">
        <v>89</v>
      </c>
      <c r="K350" s="247" t="s">
        <v>89</v>
      </c>
    </row>
    <row r="351" spans="1:11" ht="15" thickBot="1" x14ac:dyDescent="0.4">
      <c r="A351" s="490" t="s">
        <v>92</v>
      </c>
      <c r="B351" s="491"/>
      <c r="C351" s="185"/>
      <c r="D351" s="115" t="s">
        <v>89</v>
      </c>
      <c r="E351" s="115" t="s">
        <v>89</v>
      </c>
      <c r="F351" s="115" t="s">
        <v>89</v>
      </c>
      <c r="G351" s="490" t="s">
        <v>92</v>
      </c>
      <c r="H351" s="491"/>
      <c r="I351" s="246" t="s">
        <v>89</v>
      </c>
      <c r="J351" s="246" t="s">
        <v>89</v>
      </c>
      <c r="K351" s="246" t="s">
        <v>89</v>
      </c>
    </row>
    <row r="352" spans="1:11" x14ac:dyDescent="0.35">
      <c r="A352" s="469" t="s">
        <v>658</v>
      </c>
      <c r="B352" s="470"/>
      <c r="C352" s="183"/>
      <c r="D352" s="150" t="s">
        <v>89</v>
      </c>
      <c r="E352" s="150" t="s">
        <v>89</v>
      </c>
      <c r="F352" s="150" t="s">
        <v>89</v>
      </c>
      <c r="G352" s="469" t="s">
        <v>662</v>
      </c>
      <c r="H352" s="470"/>
      <c r="I352" s="247" t="s">
        <v>89</v>
      </c>
      <c r="J352" s="247" t="s">
        <v>89</v>
      </c>
      <c r="K352" s="247" t="s">
        <v>89</v>
      </c>
    </row>
    <row r="353" spans="1:11" ht="15" thickBot="1" x14ac:dyDescent="0.4">
      <c r="A353" s="490" t="s">
        <v>92</v>
      </c>
      <c r="B353" s="491"/>
      <c r="C353" s="185"/>
      <c r="D353" s="115" t="s">
        <v>89</v>
      </c>
      <c r="E353" s="115" t="s">
        <v>89</v>
      </c>
      <c r="F353" s="115" t="s">
        <v>89</v>
      </c>
      <c r="G353" s="490" t="s">
        <v>92</v>
      </c>
      <c r="H353" s="491"/>
      <c r="I353" s="246" t="s">
        <v>89</v>
      </c>
      <c r="J353" s="246" t="s">
        <v>89</v>
      </c>
      <c r="K353" s="246" t="s">
        <v>89</v>
      </c>
    </row>
    <row r="354" spans="1:11" x14ac:dyDescent="0.35">
      <c r="A354" s="469" t="s">
        <v>660</v>
      </c>
      <c r="B354" s="470"/>
      <c r="C354" s="183"/>
      <c r="D354" s="150" t="s">
        <v>89</v>
      </c>
      <c r="E354" s="150" t="s">
        <v>89</v>
      </c>
      <c r="F354" s="150" t="s">
        <v>89</v>
      </c>
      <c r="G354" s="469" t="s">
        <v>664</v>
      </c>
      <c r="H354" s="470"/>
      <c r="I354" s="247" t="s">
        <v>89</v>
      </c>
      <c r="J354" s="247" t="s">
        <v>89</v>
      </c>
      <c r="K354" s="247" t="s">
        <v>89</v>
      </c>
    </row>
    <row r="355" spans="1:11" ht="15" thickBot="1" x14ac:dyDescent="0.4">
      <c r="A355" s="490" t="s">
        <v>92</v>
      </c>
      <c r="B355" s="491"/>
      <c r="C355" s="185"/>
      <c r="D355" s="115" t="s">
        <v>89</v>
      </c>
      <c r="E355" s="115" t="s">
        <v>89</v>
      </c>
      <c r="F355" s="115" t="s">
        <v>89</v>
      </c>
      <c r="G355" s="490" t="s">
        <v>92</v>
      </c>
      <c r="H355" s="491"/>
      <c r="I355" s="246" t="s">
        <v>89</v>
      </c>
      <c r="J355" s="246" t="s">
        <v>89</v>
      </c>
      <c r="K355" s="246" t="s">
        <v>89</v>
      </c>
    </row>
    <row r="356" spans="1:11" x14ac:dyDescent="0.35">
      <c r="A356" s="469" t="s">
        <v>662</v>
      </c>
      <c r="B356" s="470"/>
      <c r="C356" s="183"/>
      <c r="D356" s="150" t="s">
        <v>89</v>
      </c>
      <c r="E356" s="150" t="s">
        <v>89</v>
      </c>
      <c r="F356" s="150" t="s">
        <v>89</v>
      </c>
      <c r="G356" s="469" t="s">
        <v>666</v>
      </c>
      <c r="H356" s="470"/>
      <c r="I356" s="248" t="s">
        <v>89</v>
      </c>
      <c r="J356" s="248" t="s">
        <v>89</v>
      </c>
      <c r="K356" s="248" t="s">
        <v>89</v>
      </c>
    </row>
    <row r="357" spans="1:11" ht="15" thickBot="1" x14ac:dyDescent="0.4">
      <c r="A357" s="490" t="s">
        <v>92</v>
      </c>
      <c r="B357" s="491"/>
      <c r="C357" s="185"/>
      <c r="D357" s="115" t="s">
        <v>89</v>
      </c>
      <c r="E357" s="115" t="s">
        <v>89</v>
      </c>
      <c r="F357" s="115" t="s">
        <v>89</v>
      </c>
      <c r="G357" s="490" t="s">
        <v>92</v>
      </c>
      <c r="H357" s="491"/>
      <c r="I357" s="246" t="s">
        <v>89</v>
      </c>
      <c r="J357" s="246" t="s">
        <v>89</v>
      </c>
      <c r="K357" s="246" t="s">
        <v>89</v>
      </c>
    </row>
    <row r="358" spans="1:11" x14ac:dyDescent="0.35">
      <c r="A358" s="469" t="s">
        <v>664</v>
      </c>
      <c r="B358" s="470"/>
      <c r="C358" s="183"/>
      <c r="D358" s="150" t="s">
        <v>89</v>
      </c>
      <c r="E358" s="150" t="s">
        <v>89</v>
      </c>
      <c r="F358" s="150" t="s">
        <v>89</v>
      </c>
      <c r="G358" s="469" t="s">
        <v>668</v>
      </c>
      <c r="H358" s="470"/>
      <c r="I358" s="247" t="s">
        <v>89</v>
      </c>
      <c r="J358" s="247" t="s">
        <v>89</v>
      </c>
      <c r="K358" s="247" t="s">
        <v>89</v>
      </c>
    </row>
    <row r="359" spans="1:11" ht="15" thickBot="1" x14ac:dyDescent="0.4">
      <c r="A359" s="490" t="s">
        <v>92</v>
      </c>
      <c r="B359" s="491"/>
      <c r="C359" s="185"/>
      <c r="D359" s="115" t="s">
        <v>89</v>
      </c>
      <c r="E359" s="115" t="s">
        <v>89</v>
      </c>
      <c r="F359" s="115" t="s">
        <v>89</v>
      </c>
      <c r="G359" s="490" t="s">
        <v>92</v>
      </c>
      <c r="H359" s="491"/>
      <c r="I359" s="246" t="s">
        <v>89</v>
      </c>
      <c r="J359" s="246" t="s">
        <v>89</v>
      </c>
      <c r="K359" s="246" t="s">
        <v>89</v>
      </c>
    </row>
    <row r="360" spans="1:11" x14ac:dyDescent="0.35">
      <c r="A360" s="469" t="s">
        <v>666</v>
      </c>
      <c r="B360" s="470"/>
      <c r="C360" s="183"/>
      <c r="D360" s="153" t="s">
        <v>89</v>
      </c>
      <c r="E360" s="153" t="s">
        <v>89</v>
      </c>
      <c r="F360" s="153" t="s">
        <v>89</v>
      </c>
      <c r="G360" s="469" t="s">
        <v>670</v>
      </c>
      <c r="H360" s="470"/>
      <c r="I360" s="247" t="s">
        <v>89</v>
      </c>
      <c r="J360" s="247" t="s">
        <v>89</v>
      </c>
      <c r="K360" s="247" t="s">
        <v>89</v>
      </c>
    </row>
    <row r="361" spans="1:11" ht="15" thickBot="1" x14ac:dyDescent="0.4">
      <c r="A361" s="490" t="s">
        <v>92</v>
      </c>
      <c r="B361" s="491"/>
      <c r="C361" s="185"/>
      <c r="D361" s="115" t="s">
        <v>89</v>
      </c>
      <c r="E361" s="115" t="s">
        <v>89</v>
      </c>
      <c r="F361" s="115" t="s">
        <v>89</v>
      </c>
      <c r="G361" s="490" t="s">
        <v>92</v>
      </c>
      <c r="H361" s="491"/>
      <c r="I361" s="246" t="s">
        <v>89</v>
      </c>
      <c r="J361" s="246" t="s">
        <v>89</v>
      </c>
      <c r="K361" s="246" t="s">
        <v>89</v>
      </c>
    </row>
    <row r="362" spans="1:11" x14ac:dyDescent="0.35">
      <c r="A362" s="469" t="s">
        <v>668</v>
      </c>
      <c r="B362" s="470"/>
      <c r="C362" s="183"/>
      <c r="D362" s="150" t="s">
        <v>89</v>
      </c>
      <c r="E362" s="150" t="s">
        <v>89</v>
      </c>
      <c r="F362" s="150" t="s">
        <v>89</v>
      </c>
      <c r="G362" s="469" t="s">
        <v>672</v>
      </c>
      <c r="H362" s="470"/>
      <c r="I362" s="249" t="s">
        <v>89</v>
      </c>
      <c r="J362" s="249" t="s">
        <v>89</v>
      </c>
      <c r="K362" s="249" t="s">
        <v>89</v>
      </c>
    </row>
    <row r="363" spans="1:11" ht="15" thickBot="1" x14ac:dyDescent="0.4">
      <c r="A363" s="490" t="s">
        <v>92</v>
      </c>
      <c r="B363" s="491"/>
      <c r="C363" s="185"/>
      <c r="D363" s="115" t="s">
        <v>89</v>
      </c>
      <c r="E363" s="115" t="s">
        <v>89</v>
      </c>
      <c r="F363" s="115" t="s">
        <v>89</v>
      </c>
      <c r="G363" s="490" t="s">
        <v>92</v>
      </c>
      <c r="H363" s="491"/>
      <c r="I363" s="246" t="s">
        <v>89</v>
      </c>
      <c r="J363" s="246" t="s">
        <v>89</v>
      </c>
      <c r="K363" s="246" t="s">
        <v>89</v>
      </c>
    </row>
    <row r="364" spans="1:11" x14ac:dyDescent="0.35">
      <c r="A364" s="469" t="s">
        <v>670</v>
      </c>
      <c r="B364" s="470"/>
      <c r="C364" s="183"/>
      <c r="D364" s="150" t="s">
        <v>89</v>
      </c>
      <c r="E364" s="150" t="s">
        <v>89</v>
      </c>
      <c r="F364" s="150" t="s">
        <v>89</v>
      </c>
      <c r="G364" s="469" t="s">
        <v>674</v>
      </c>
      <c r="H364" s="470"/>
      <c r="I364" s="249" t="s">
        <v>89</v>
      </c>
      <c r="J364" s="249" t="s">
        <v>89</v>
      </c>
      <c r="K364" s="249" t="s">
        <v>89</v>
      </c>
    </row>
    <row r="365" spans="1:11" ht="15" thickBot="1" x14ac:dyDescent="0.4">
      <c r="A365" s="490" t="s">
        <v>92</v>
      </c>
      <c r="B365" s="491"/>
      <c r="C365" s="185"/>
      <c r="D365" s="115" t="s">
        <v>89</v>
      </c>
      <c r="E365" s="115" t="s">
        <v>89</v>
      </c>
      <c r="F365" s="115" t="s">
        <v>89</v>
      </c>
      <c r="G365" s="490" t="s">
        <v>92</v>
      </c>
      <c r="H365" s="491"/>
      <c r="I365" s="246" t="s">
        <v>89</v>
      </c>
      <c r="J365" s="246" t="s">
        <v>89</v>
      </c>
      <c r="K365" s="246" t="s">
        <v>89</v>
      </c>
    </row>
    <row r="366" spans="1:11" x14ac:dyDescent="0.35">
      <c r="A366" s="469" t="s">
        <v>672</v>
      </c>
      <c r="B366" s="470"/>
      <c r="C366" s="183"/>
      <c r="D366" s="152" t="s">
        <v>89</v>
      </c>
      <c r="E366" s="152" t="s">
        <v>89</v>
      </c>
      <c r="F366" s="152" t="s">
        <v>89</v>
      </c>
      <c r="G366" s="469" t="s">
        <v>676</v>
      </c>
      <c r="H366" s="470"/>
      <c r="I366" s="247" t="s">
        <v>89</v>
      </c>
      <c r="J366" s="247" t="s">
        <v>89</v>
      </c>
      <c r="K366" s="247" t="s">
        <v>89</v>
      </c>
    </row>
    <row r="367" spans="1:11" ht="15" thickBot="1" x14ac:dyDescent="0.4">
      <c r="A367" s="490" t="s">
        <v>92</v>
      </c>
      <c r="B367" s="491"/>
      <c r="C367" s="185"/>
      <c r="D367" s="115" t="s">
        <v>89</v>
      </c>
      <c r="E367" s="115" t="s">
        <v>89</v>
      </c>
      <c r="F367" s="115" t="s">
        <v>89</v>
      </c>
      <c r="G367" s="490" t="s">
        <v>92</v>
      </c>
      <c r="H367" s="491"/>
      <c r="I367" s="246" t="s">
        <v>89</v>
      </c>
      <c r="J367" s="246" t="s">
        <v>89</v>
      </c>
      <c r="K367" s="246" t="s">
        <v>89</v>
      </c>
    </row>
    <row r="368" spans="1:11" x14ac:dyDescent="0.35">
      <c r="A368" s="469" t="s">
        <v>674</v>
      </c>
      <c r="B368" s="470"/>
      <c r="C368" s="183"/>
      <c r="D368" s="152" t="s">
        <v>89</v>
      </c>
      <c r="E368" s="152" t="s">
        <v>89</v>
      </c>
      <c r="F368" s="152" t="s">
        <v>89</v>
      </c>
      <c r="G368" s="469" t="s">
        <v>678</v>
      </c>
      <c r="H368" s="470"/>
      <c r="I368" s="247" t="s">
        <v>89</v>
      </c>
      <c r="J368" s="247" t="s">
        <v>89</v>
      </c>
      <c r="K368" s="247" t="s">
        <v>89</v>
      </c>
    </row>
    <row r="369" spans="1:11" ht="15" thickBot="1" x14ac:dyDescent="0.4">
      <c r="A369" s="490" t="s">
        <v>92</v>
      </c>
      <c r="B369" s="491"/>
      <c r="C369" s="185"/>
      <c r="D369" s="115" t="s">
        <v>89</v>
      </c>
      <c r="E369" s="115" t="s">
        <v>89</v>
      </c>
      <c r="F369" s="115" t="s">
        <v>89</v>
      </c>
      <c r="G369" s="490" t="s">
        <v>92</v>
      </c>
      <c r="H369" s="491"/>
      <c r="I369" s="246" t="s">
        <v>89</v>
      </c>
      <c r="J369" s="246" t="s">
        <v>89</v>
      </c>
      <c r="K369" s="246" t="s">
        <v>89</v>
      </c>
    </row>
    <row r="370" spans="1:11" x14ac:dyDescent="0.35">
      <c r="A370" s="469" t="s">
        <v>676</v>
      </c>
      <c r="B370" s="470"/>
      <c r="C370" s="183"/>
      <c r="D370" s="150" t="s">
        <v>89</v>
      </c>
      <c r="E370" s="150" t="s">
        <v>89</v>
      </c>
      <c r="F370" s="150" t="s">
        <v>89</v>
      </c>
      <c r="G370" s="469" t="s">
        <v>680</v>
      </c>
      <c r="H370" s="470"/>
      <c r="I370" s="247" t="s">
        <v>89</v>
      </c>
      <c r="J370" s="247" t="s">
        <v>89</v>
      </c>
      <c r="K370" s="247" t="s">
        <v>89</v>
      </c>
    </row>
    <row r="371" spans="1:11" ht="15" thickBot="1" x14ac:dyDescent="0.4">
      <c r="A371" s="490" t="s">
        <v>92</v>
      </c>
      <c r="B371" s="491"/>
      <c r="C371" s="185"/>
      <c r="D371" s="115" t="s">
        <v>89</v>
      </c>
      <c r="E371" s="115" t="s">
        <v>89</v>
      </c>
      <c r="F371" s="115" t="s">
        <v>89</v>
      </c>
      <c r="G371" s="490" t="s">
        <v>92</v>
      </c>
      <c r="H371" s="491"/>
      <c r="I371" s="246" t="s">
        <v>89</v>
      </c>
      <c r="J371" s="246" t="s">
        <v>89</v>
      </c>
      <c r="K371" s="246" t="s">
        <v>89</v>
      </c>
    </row>
    <row r="372" spans="1:11" x14ac:dyDescent="0.35">
      <c r="A372" s="469" t="s">
        <v>678</v>
      </c>
      <c r="B372" s="470"/>
      <c r="C372" s="183"/>
      <c r="D372" s="150" t="s">
        <v>89</v>
      </c>
      <c r="E372" s="150" t="s">
        <v>89</v>
      </c>
      <c r="F372" s="150" t="s">
        <v>89</v>
      </c>
      <c r="G372" s="469" t="s">
        <v>682</v>
      </c>
      <c r="H372" s="470"/>
      <c r="I372" s="247" t="s">
        <v>89</v>
      </c>
      <c r="J372" s="247" t="s">
        <v>89</v>
      </c>
      <c r="K372" s="247" t="s">
        <v>89</v>
      </c>
    </row>
    <row r="373" spans="1:11" ht="15" thickBot="1" x14ac:dyDescent="0.4">
      <c r="A373" s="490" t="s">
        <v>92</v>
      </c>
      <c r="B373" s="491"/>
      <c r="C373" s="185"/>
      <c r="D373" s="115" t="s">
        <v>89</v>
      </c>
      <c r="E373" s="115" t="s">
        <v>89</v>
      </c>
      <c r="F373" s="115" t="s">
        <v>89</v>
      </c>
      <c r="G373" s="490" t="s">
        <v>92</v>
      </c>
      <c r="H373" s="491"/>
      <c r="I373" s="246" t="s">
        <v>89</v>
      </c>
      <c r="J373" s="246" t="s">
        <v>89</v>
      </c>
      <c r="K373" s="246" t="s">
        <v>89</v>
      </c>
    </row>
    <row r="374" spans="1:11" x14ac:dyDescent="0.35">
      <c r="A374" s="469" t="s">
        <v>680</v>
      </c>
      <c r="B374" s="470"/>
      <c r="C374" s="183"/>
      <c r="D374" s="150" t="s">
        <v>89</v>
      </c>
      <c r="E374" s="150" t="s">
        <v>89</v>
      </c>
      <c r="F374" s="150" t="s">
        <v>89</v>
      </c>
      <c r="G374" s="469" t="s">
        <v>684</v>
      </c>
      <c r="H374" s="470"/>
      <c r="I374" s="247" t="s">
        <v>89</v>
      </c>
      <c r="J374" s="247" t="s">
        <v>89</v>
      </c>
      <c r="K374" s="247" t="s">
        <v>89</v>
      </c>
    </row>
    <row r="375" spans="1:11" ht="15" thickBot="1" x14ac:dyDescent="0.4">
      <c r="A375" s="490" t="s">
        <v>92</v>
      </c>
      <c r="B375" s="491"/>
      <c r="C375" s="185"/>
      <c r="D375" s="115" t="s">
        <v>89</v>
      </c>
      <c r="E375" s="115" t="s">
        <v>89</v>
      </c>
      <c r="F375" s="115" t="s">
        <v>89</v>
      </c>
      <c r="G375" s="490" t="s">
        <v>92</v>
      </c>
      <c r="H375" s="491"/>
      <c r="I375" s="246" t="s">
        <v>89</v>
      </c>
      <c r="J375" s="246" t="s">
        <v>89</v>
      </c>
      <c r="K375" s="246" t="s">
        <v>89</v>
      </c>
    </row>
    <row r="376" spans="1:11" x14ac:dyDescent="0.35">
      <c r="A376" s="469" t="s">
        <v>682</v>
      </c>
      <c r="B376" s="470"/>
      <c r="C376" s="183"/>
      <c r="D376" s="150" t="s">
        <v>89</v>
      </c>
      <c r="E376" s="150" t="s">
        <v>89</v>
      </c>
      <c r="F376" s="150" t="s">
        <v>89</v>
      </c>
      <c r="G376" s="469" t="s">
        <v>686</v>
      </c>
      <c r="H376" s="470"/>
      <c r="I376" s="247" t="s">
        <v>89</v>
      </c>
      <c r="J376" s="247" t="s">
        <v>89</v>
      </c>
      <c r="K376" s="247" t="s">
        <v>89</v>
      </c>
    </row>
    <row r="377" spans="1:11" ht="15" thickBot="1" x14ac:dyDescent="0.4">
      <c r="A377" s="490" t="s">
        <v>92</v>
      </c>
      <c r="B377" s="491"/>
      <c r="C377" s="185"/>
      <c r="D377" s="115" t="s">
        <v>89</v>
      </c>
      <c r="E377" s="115" t="s">
        <v>89</v>
      </c>
      <c r="F377" s="115" t="s">
        <v>89</v>
      </c>
      <c r="G377" s="490" t="s">
        <v>92</v>
      </c>
      <c r="H377" s="491"/>
      <c r="I377" s="246" t="s">
        <v>89</v>
      </c>
      <c r="J377" s="246" t="s">
        <v>89</v>
      </c>
      <c r="K377" s="246" t="s">
        <v>89</v>
      </c>
    </row>
    <row r="378" spans="1:11" x14ac:dyDescent="0.35">
      <c r="A378" s="469" t="s">
        <v>684</v>
      </c>
      <c r="B378" s="470"/>
      <c r="C378" s="183"/>
      <c r="D378" s="150" t="s">
        <v>89</v>
      </c>
      <c r="E378" s="150" t="s">
        <v>89</v>
      </c>
      <c r="F378" s="150" t="s">
        <v>89</v>
      </c>
      <c r="G378" s="469" t="s">
        <v>688</v>
      </c>
      <c r="H378" s="470"/>
      <c r="I378" s="247" t="s">
        <v>89</v>
      </c>
      <c r="J378" s="247" t="s">
        <v>89</v>
      </c>
      <c r="K378" s="247" t="s">
        <v>89</v>
      </c>
    </row>
    <row r="379" spans="1:11" ht="15" thickBot="1" x14ac:dyDescent="0.4">
      <c r="A379" s="490" t="s">
        <v>92</v>
      </c>
      <c r="B379" s="491"/>
      <c r="C379" s="185"/>
      <c r="D379" s="115" t="s">
        <v>89</v>
      </c>
      <c r="E379" s="115" t="s">
        <v>89</v>
      </c>
      <c r="F379" s="115" t="s">
        <v>89</v>
      </c>
      <c r="G379" s="490" t="s">
        <v>92</v>
      </c>
      <c r="H379" s="491"/>
      <c r="I379" s="246" t="s">
        <v>89</v>
      </c>
      <c r="J379" s="246" t="s">
        <v>89</v>
      </c>
      <c r="K379" s="246" t="s">
        <v>89</v>
      </c>
    </row>
    <row r="380" spans="1:11" x14ac:dyDescent="0.35">
      <c r="A380" s="469" t="s">
        <v>686</v>
      </c>
      <c r="B380" s="470"/>
      <c r="C380" s="183"/>
      <c r="D380" s="150" t="s">
        <v>89</v>
      </c>
      <c r="E380" s="150" t="s">
        <v>89</v>
      </c>
      <c r="F380" s="150" t="s">
        <v>89</v>
      </c>
      <c r="G380" s="469" t="s">
        <v>690</v>
      </c>
      <c r="H380" s="470"/>
      <c r="I380" s="247" t="s">
        <v>89</v>
      </c>
      <c r="J380" s="247" t="s">
        <v>89</v>
      </c>
      <c r="K380" s="247" t="s">
        <v>89</v>
      </c>
    </row>
    <row r="381" spans="1:11" ht="15" thickBot="1" x14ac:dyDescent="0.4">
      <c r="A381" s="490" t="s">
        <v>92</v>
      </c>
      <c r="B381" s="491"/>
      <c r="C381" s="185"/>
      <c r="D381" s="115" t="s">
        <v>89</v>
      </c>
      <c r="E381" s="115" t="s">
        <v>89</v>
      </c>
      <c r="F381" s="115" t="s">
        <v>89</v>
      </c>
      <c r="G381" s="490" t="s">
        <v>92</v>
      </c>
      <c r="H381" s="491"/>
      <c r="I381" s="246" t="s">
        <v>89</v>
      </c>
      <c r="J381" s="246" t="s">
        <v>89</v>
      </c>
      <c r="K381" s="246" t="s">
        <v>89</v>
      </c>
    </row>
    <row r="382" spans="1:11" x14ac:dyDescent="0.35">
      <c r="A382" s="469" t="s">
        <v>688</v>
      </c>
      <c r="B382" s="470"/>
      <c r="C382" s="183"/>
      <c r="D382" s="150" t="s">
        <v>89</v>
      </c>
      <c r="E382" s="150" t="s">
        <v>89</v>
      </c>
      <c r="F382" s="150" t="s">
        <v>89</v>
      </c>
      <c r="G382" s="469" t="s">
        <v>692</v>
      </c>
      <c r="H382" s="470"/>
      <c r="I382" s="247" t="s">
        <v>89</v>
      </c>
      <c r="J382" s="247" t="s">
        <v>89</v>
      </c>
      <c r="K382" s="247" t="s">
        <v>89</v>
      </c>
    </row>
    <row r="383" spans="1:11" ht="15" thickBot="1" x14ac:dyDescent="0.4">
      <c r="A383" s="490" t="s">
        <v>92</v>
      </c>
      <c r="B383" s="491"/>
      <c r="C383" s="185"/>
      <c r="D383" s="115" t="s">
        <v>89</v>
      </c>
      <c r="E383" s="115" t="s">
        <v>89</v>
      </c>
      <c r="F383" s="115" t="s">
        <v>89</v>
      </c>
      <c r="G383" s="490" t="s">
        <v>92</v>
      </c>
      <c r="H383" s="491"/>
      <c r="I383" s="246" t="s">
        <v>89</v>
      </c>
      <c r="J383" s="246" t="s">
        <v>89</v>
      </c>
      <c r="K383" s="246" t="s">
        <v>89</v>
      </c>
    </row>
    <row r="384" spans="1:11" x14ac:dyDescent="0.35">
      <c r="A384" s="469" t="s">
        <v>690</v>
      </c>
      <c r="B384" s="470"/>
      <c r="C384" s="183"/>
      <c r="D384" s="150" t="s">
        <v>89</v>
      </c>
      <c r="E384" s="150" t="s">
        <v>89</v>
      </c>
      <c r="F384" s="150" t="s">
        <v>89</v>
      </c>
      <c r="G384" s="469" t="s">
        <v>694</v>
      </c>
      <c r="H384" s="470"/>
      <c r="I384" s="247" t="s">
        <v>89</v>
      </c>
      <c r="J384" s="247" t="s">
        <v>89</v>
      </c>
      <c r="K384" s="247" t="s">
        <v>89</v>
      </c>
    </row>
    <row r="385" spans="1:11" ht="15" thickBot="1" x14ac:dyDescent="0.4">
      <c r="A385" s="490" t="s">
        <v>92</v>
      </c>
      <c r="B385" s="491"/>
      <c r="C385" s="185"/>
      <c r="D385" s="115" t="s">
        <v>89</v>
      </c>
      <c r="E385" s="115" t="s">
        <v>89</v>
      </c>
      <c r="F385" s="115" t="s">
        <v>89</v>
      </c>
      <c r="G385" s="490" t="s">
        <v>92</v>
      </c>
      <c r="H385" s="491"/>
      <c r="I385" s="246" t="s">
        <v>89</v>
      </c>
      <c r="J385" s="246" t="s">
        <v>89</v>
      </c>
      <c r="K385" s="246" t="s">
        <v>89</v>
      </c>
    </row>
    <row r="386" spans="1:11" x14ac:dyDescent="0.35">
      <c r="A386" s="469" t="s">
        <v>692</v>
      </c>
      <c r="B386" s="470"/>
      <c r="C386" s="183"/>
      <c r="D386" s="150" t="s">
        <v>89</v>
      </c>
      <c r="E386" s="150" t="s">
        <v>89</v>
      </c>
      <c r="F386" s="150" t="s">
        <v>89</v>
      </c>
      <c r="G386" s="469" t="s">
        <v>696</v>
      </c>
      <c r="H386" s="470"/>
      <c r="I386" s="247">
        <v>483</v>
      </c>
      <c r="J386" s="247">
        <v>524.70000000000005</v>
      </c>
      <c r="K386" s="247">
        <v>537.20000000000005</v>
      </c>
    </row>
    <row r="387" spans="1:11" ht="15" thickBot="1" x14ac:dyDescent="0.4">
      <c r="A387" s="490" t="s">
        <v>92</v>
      </c>
      <c r="B387" s="491"/>
      <c r="C387" s="185"/>
      <c r="D387" s="115" t="s">
        <v>89</v>
      </c>
      <c r="E387" s="115" t="s">
        <v>89</v>
      </c>
      <c r="F387" s="115" t="s">
        <v>89</v>
      </c>
      <c r="G387" s="490" t="s">
        <v>92</v>
      </c>
      <c r="H387" s="491"/>
      <c r="I387" s="246" t="s">
        <v>1063</v>
      </c>
      <c r="J387" s="246" t="s">
        <v>1064</v>
      </c>
      <c r="K387" s="246" t="s">
        <v>999</v>
      </c>
    </row>
    <row r="388" spans="1:11" x14ac:dyDescent="0.35">
      <c r="A388" s="469" t="s">
        <v>694</v>
      </c>
      <c r="B388" s="470"/>
      <c r="C388" s="183"/>
      <c r="D388" s="150" t="s">
        <v>89</v>
      </c>
      <c r="E388" s="150" t="s">
        <v>89</v>
      </c>
      <c r="F388" s="150" t="s">
        <v>89</v>
      </c>
      <c r="G388" s="469" t="s">
        <v>698</v>
      </c>
      <c r="H388" s="470"/>
      <c r="I388" s="247">
        <v>555.1</v>
      </c>
      <c r="J388" s="247">
        <v>611.20000000000005</v>
      </c>
      <c r="K388" s="247">
        <v>663.8</v>
      </c>
    </row>
    <row r="389" spans="1:11" ht="15" thickBot="1" x14ac:dyDescent="0.4">
      <c r="A389" s="490" t="s">
        <v>92</v>
      </c>
      <c r="B389" s="491"/>
      <c r="C389" s="185"/>
      <c r="D389" s="115" t="s">
        <v>89</v>
      </c>
      <c r="E389" s="115" t="s">
        <v>89</v>
      </c>
      <c r="F389" s="115" t="s">
        <v>89</v>
      </c>
      <c r="G389" s="490" t="s">
        <v>92</v>
      </c>
      <c r="H389" s="491"/>
      <c r="I389" s="246" t="s">
        <v>1065</v>
      </c>
      <c r="J389" s="246" t="s">
        <v>1056</v>
      </c>
      <c r="K389" s="246" t="s">
        <v>1064</v>
      </c>
    </row>
    <row r="390" spans="1:11" ht="15" thickBot="1" x14ac:dyDescent="0.4">
      <c r="A390" s="469" t="s">
        <v>696</v>
      </c>
      <c r="B390" s="470"/>
      <c r="C390" s="183"/>
      <c r="D390" s="150">
        <v>12494129</v>
      </c>
      <c r="E390" s="150">
        <v>11743938</v>
      </c>
      <c r="F390" s="150">
        <v>9637762</v>
      </c>
      <c r="G390" s="539" t="s">
        <v>1066</v>
      </c>
      <c r="H390" s="539"/>
      <c r="I390" s="250"/>
      <c r="J390" s="250"/>
      <c r="K390" s="250"/>
    </row>
    <row r="391" spans="1:11" ht="15" thickBot="1" x14ac:dyDescent="0.4">
      <c r="A391" s="490" t="s">
        <v>92</v>
      </c>
      <c r="B391" s="491"/>
      <c r="C391" s="185"/>
      <c r="D391" s="115" t="s">
        <v>999</v>
      </c>
      <c r="E391" s="115" t="s">
        <v>870</v>
      </c>
      <c r="F391" s="115" t="s">
        <v>1067</v>
      </c>
      <c r="G391" s="486" t="s">
        <v>702</v>
      </c>
      <c r="H391" s="487"/>
      <c r="I391" s="247">
        <v>80.599999999999994</v>
      </c>
      <c r="J391" s="247">
        <v>96.2</v>
      </c>
      <c r="K391" s="247">
        <v>99.4</v>
      </c>
    </row>
    <row r="392" spans="1:11" ht="15" thickBot="1" x14ac:dyDescent="0.4">
      <c r="A392" s="469" t="s">
        <v>698</v>
      </c>
      <c r="B392" s="470"/>
      <c r="C392" s="183"/>
      <c r="D392" s="150">
        <v>15437569</v>
      </c>
      <c r="E392" s="150">
        <v>14107193</v>
      </c>
      <c r="F392" s="150">
        <v>11976296</v>
      </c>
      <c r="G392" s="488" t="s">
        <v>92</v>
      </c>
      <c r="H392" s="489"/>
      <c r="I392" s="246" t="s">
        <v>876</v>
      </c>
      <c r="J392" s="246" t="s">
        <v>1068</v>
      </c>
      <c r="K392" s="246" t="s">
        <v>1069</v>
      </c>
    </row>
    <row r="393" spans="1:11" ht="15" thickBot="1" x14ac:dyDescent="0.4">
      <c r="A393" s="490" t="s">
        <v>92</v>
      </c>
      <c r="B393" s="491"/>
      <c r="C393" s="185"/>
      <c r="D393" s="115" t="s">
        <v>1064</v>
      </c>
      <c r="E393" s="115" t="s">
        <v>1070</v>
      </c>
      <c r="F393" s="115" t="s">
        <v>1071</v>
      </c>
      <c r="G393" s="535" t="s">
        <v>702</v>
      </c>
      <c r="H393" s="536"/>
      <c r="I393" s="247">
        <v>80.599999999999994</v>
      </c>
      <c r="J393" s="247">
        <v>96.2</v>
      </c>
      <c r="K393" s="247">
        <v>99.4</v>
      </c>
    </row>
    <row r="394" spans="1:11" ht="15" thickBot="1" x14ac:dyDescent="0.4">
      <c r="A394" s="539" t="s">
        <v>700</v>
      </c>
      <c r="B394" s="539"/>
      <c r="C394" s="98"/>
      <c r="D394" s="98"/>
      <c r="E394" s="98"/>
      <c r="F394" s="98"/>
      <c r="G394" s="537" t="s">
        <v>92</v>
      </c>
      <c r="H394" s="538"/>
      <c r="I394" s="246" t="s">
        <v>876</v>
      </c>
      <c r="J394" s="246" t="s">
        <v>1068</v>
      </c>
      <c r="K394" s="246" t="s">
        <v>1069</v>
      </c>
    </row>
    <row r="395" spans="1:11" x14ac:dyDescent="0.35">
      <c r="A395" s="486" t="s">
        <v>702</v>
      </c>
      <c r="B395" s="487"/>
      <c r="C395" s="188"/>
      <c r="D395" s="146">
        <v>2310674</v>
      </c>
      <c r="E395" s="146">
        <v>2320982</v>
      </c>
      <c r="F395" s="146">
        <v>1956248</v>
      </c>
      <c r="G395" s="486" t="s">
        <v>705</v>
      </c>
      <c r="H395" s="487"/>
      <c r="I395" s="247">
        <v>-1.2</v>
      </c>
      <c r="J395" s="247">
        <v>0.1</v>
      </c>
      <c r="K395" s="247">
        <v>-1.2</v>
      </c>
    </row>
    <row r="396" spans="1:11" ht="15" thickBot="1" x14ac:dyDescent="0.4">
      <c r="A396" s="488" t="s">
        <v>92</v>
      </c>
      <c r="B396" s="489"/>
      <c r="C396" s="189"/>
      <c r="D396" s="147" t="s">
        <v>1069</v>
      </c>
      <c r="E396" s="147" t="s">
        <v>839</v>
      </c>
      <c r="F396" s="147" t="s">
        <v>1072</v>
      </c>
      <c r="G396" s="488" t="s">
        <v>92</v>
      </c>
      <c r="H396" s="489"/>
      <c r="I396" s="246" t="s">
        <v>1073</v>
      </c>
      <c r="J396" s="246" t="s">
        <v>902</v>
      </c>
      <c r="K396" s="246" t="s">
        <v>904</v>
      </c>
    </row>
    <row r="397" spans="1:11" x14ac:dyDescent="0.35">
      <c r="A397" s="482" t="s">
        <v>1074</v>
      </c>
      <c r="B397" s="483"/>
      <c r="C397" s="186"/>
      <c r="D397" s="148" t="s">
        <v>89</v>
      </c>
      <c r="E397" s="148" t="s">
        <v>89</v>
      </c>
      <c r="F397" s="148" t="s">
        <v>89</v>
      </c>
      <c r="G397" s="535" t="s">
        <v>705</v>
      </c>
      <c r="H397" s="536"/>
      <c r="I397" s="247">
        <v>-1.2</v>
      </c>
      <c r="J397" s="247">
        <v>0.1</v>
      </c>
      <c r="K397" s="247">
        <v>-1.2</v>
      </c>
    </row>
    <row r="398" spans="1:11" ht="15" thickBot="1" x14ac:dyDescent="0.4">
      <c r="A398" s="484" t="s">
        <v>92</v>
      </c>
      <c r="B398" s="485"/>
      <c r="C398" s="187"/>
      <c r="D398" s="149" t="s">
        <v>89</v>
      </c>
      <c r="E398" s="149" t="s">
        <v>89</v>
      </c>
      <c r="F398" s="149" t="s">
        <v>89</v>
      </c>
      <c r="G398" s="537" t="s">
        <v>92</v>
      </c>
      <c r="H398" s="538"/>
      <c r="I398" s="246" t="s">
        <v>1073</v>
      </c>
      <c r="J398" s="246" t="s">
        <v>902</v>
      </c>
      <c r="K398" s="246" t="s">
        <v>904</v>
      </c>
    </row>
    <row r="399" spans="1:11" x14ac:dyDescent="0.35">
      <c r="A399" s="482" t="s">
        <v>702</v>
      </c>
      <c r="B399" s="483"/>
      <c r="C399" s="186"/>
      <c r="D399" s="148">
        <v>2310674</v>
      </c>
      <c r="E399" s="148">
        <v>2320982</v>
      </c>
      <c r="F399" s="148">
        <v>1956248</v>
      </c>
      <c r="G399" s="469" t="s">
        <v>708</v>
      </c>
      <c r="H399" s="470"/>
      <c r="I399" s="247">
        <v>79.400000000000006</v>
      </c>
      <c r="J399" s="247">
        <v>96.4</v>
      </c>
      <c r="K399" s="247">
        <v>98.2</v>
      </c>
    </row>
    <row r="400" spans="1:11" ht="15" thickBot="1" x14ac:dyDescent="0.4">
      <c r="A400" s="484" t="s">
        <v>92</v>
      </c>
      <c r="B400" s="485"/>
      <c r="C400" s="187"/>
      <c r="D400" s="149" t="s">
        <v>1069</v>
      </c>
      <c r="E400" s="149" t="s">
        <v>839</v>
      </c>
      <c r="F400" s="149" t="s">
        <v>1072</v>
      </c>
      <c r="G400" s="490" t="s">
        <v>92</v>
      </c>
      <c r="H400" s="491"/>
      <c r="I400" s="246" t="s">
        <v>1032</v>
      </c>
      <c r="J400" s="246" t="s">
        <v>1075</v>
      </c>
      <c r="K400" s="246" t="s">
        <v>1028</v>
      </c>
    </row>
    <row r="401" spans="1:11" x14ac:dyDescent="0.35">
      <c r="A401" s="486" t="s">
        <v>705</v>
      </c>
      <c r="B401" s="487"/>
      <c r="C401" s="188"/>
      <c r="D401" s="146">
        <v>-27870</v>
      </c>
      <c r="E401" s="146">
        <v>-31282</v>
      </c>
      <c r="F401" s="146">
        <v>-38289</v>
      </c>
      <c r="G401" s="469" t="s">
        <v>710</v>
      </c>
      <c r="H401" s="470"/>
      <c r="I401" s="247" t="s">
        <v>89</v>
      </c>
      <c r="J401" s="247" t="s">
        <v>89</v>
      </c>
      <c r="K401" s="247" t="s">
        <v>89</v>
      </c>
    </row>
    <row r="402" spans="1:11" ht="15" thickBot="1" x14ac:dyDescent="0.4">
      <c r="A402" s="488" t="s">
        <v>92</v>
      </c>
      <c r="B402" s="489"/>
      <c r="C402" s="189"/>
      <c r="D402" s="147" t="s">
        <v>904</v>
      </c>
      <c r="E402" s="147" t="s">
        <v>1076</v>
      </c>
      <c r="F402" s="147" t="s">
        <v>1077</v>
      </c>
      <c r="G402" s="490" t="s">
        <v>92</v>
      </c>
      <c r="H402" s="491"/>
      <c r="I402" s="246" t="s">
        <v>89</v>
      </c>
      <c r="J402" s="246" t="s">
        <v>89</v>
      </c>
      <c r="K402" s="246" t="s">
        <v>89</v>
      </c>
    </row>
    <row r="403" spans="1:11" x14ac:dyDescent="0.35">
      <c r="A403" s="482" t="s">
        <v>1078</v>
      </c>
      <c r="B403" s="483"/>
      <c r="C403" s="186"/>
      <c r="D403" s="148" t="s">
        <v>89</v>
      </c>
      <c r="E403" s="148" t="s">
        <v>89</v>
      </c>
      <c r="F403" s="148" t="s">
        <v>89</v>
      </c>
      <c r="G403" s="469" t="s">
        <v>712</v>
      </c>
      <c r="H403" s="470"/>
      <c r="I403" s="247" t="s">
        <v>89</v>
      </c>
      <c r="J403" s="247" t="s">
        <v>89</v>
      </c>
      <c r="K403" s="247" t="s">
        <v>89</v>
      </c>
    </row>
    <row r="404" spans="1:11" ht="15" thickBot="1" x14ac:dyDescent="0.4">
      <c r="A404" s="484" t="s">
        <v>92</v>
      </c>
      <c r="B404" s="485"/>
      <c r="C404" s="187"/>
      <c r="D404" s="149" t="s">
        <v>89</v>
      </c>
      <c r="E404" s="149" t="s">
        <v>89</v>
      </c>
      <c r="F404" s="149" t="s">
        <v>89</v>
      </c>
      <c r="G404" s="490" t="s">
        <v>92</v>
      </c>
      <c r="H404" s="491"/>
      <c r="I404" s="246" t="s">
        <v>89</v>
      </c>
      <c r="J404" s="246" t="s">
        <v>89</v>
      </c>
      <c r="K404" s="246" t="s">
        <v>89</v>
      </c>
    </row>
    <row r="405" spans="1:11" x14ac:dyDescent="0.35">
      <c r="A405" s="482" t="s">
        <v>705</v>
      </c>
      <c r="B405" s="483"/>
      <c r="C405" s="186"/>
      <c r="D405" s="148">
        <v>-27870</v>
      </c>
      <c r="E405" s="148">
        <v>-31282</v>
      </c>
      <c r="F405" s="148">
        <v>-38289</v>
      </c>
      <c r="G405" s="469" t="s">
        <v>714</v>
      </c>
      <c r="H405" s="470"/>
      <c r="I405" s="247" t="s">
        <v>89</v>
      </c>
      <c r="J405" s="247" t="s">
        <v>89</v>
      </c>
      <c r="K405" s="247" t="s">
        <v>89</v>
      </c>
    </row>
    <row r="406" spans="1:11" ht="15" thickBot="1" x14ac:dyDescent="0.4">
      <c r="A406" s="484" t="s">
        <v>92</v>
      </c>
      <c r="B406" s="485"/>
      <c r="C406" s="187"/>
      <c r="D406" s="149" t="s">
        <v>904</v>
      </c>
      <c r="E406" s="149" t="s">
        <v>1076</v>
      </c>
      <c r="F406" s="149" t="s">
        <v>1077</v>
      </c>
      <c r="G406" s="490" t="s">
        <v>92</v>
      </c>
      <c r="H406" s="491"/>
      <c r="I406" s="246" t="s">
        <v>89</v>
      </c>
      <c r="J406" s="246" t="s">
        <v>89</v>
      </c>
      <c r="K406" s="246" t="s">
        <v>89</v>
      </c>
    </row>
    <row r="407" spans="1:11" x14ac:dyDescent="0.35">
      <c r="A407" s="469" t="s">
        <v>708</v>
      </c>
      <c r="B407" s="470"/>
      <c r="C407" s="183"/>
      <c r="D407" s="150">
        <v>2282804</v>
      </c>
      <c r="E407" s="150">
        <v>2289700</v>
      </c>
      <c r="F407" s="150">
        <v>1917959</v>
      </c>
      <c r="G407" s="469" t="s">
        <v>716</v>
      </c>
      <c r="H407" s="470"/>
      <c r="I407" s="247" t="s">
        <v>89</v>
      </c>
      <c r="J407" s="247" t="s">
        <v>89</v>
      </c>
      <c r="K407" s="247" t="s">
        <v>89</v>
      </c>
    </row>
    <row r="408" spans="1:11" ht="15" thickBot="1" x14ac:dyDescent="0.4">
      <c r="A408" s="490" t="s">
        <v>92</v>
      </c>
      <c r="B408" s="491"/>
      <c r="C408" s="185"/>
      <c r="D408" s="115" t="s">
        <v>1028</v>
      </c>
      <c r="E408" s="115" t="s">
        <v>1029</v>
      </c>
      <c r="F408" s="115" t="s">
        <v>1030</v>
      </c>
      <c r="G408" s="490" t="s">
        <v>92</v>
      </c>
      <c r="H408" s="491"/>
      <c r="I408" s="246" t="s">
        <v>89</v>
      </c>
      <c r="J408" s="246" t="s">
        <v>89</v>
      </c>
      <c r="K408" s="246" t="s">
        <v>89</v>
      </c>
    </row>
    <row r="409" spans="1:11" x14ac:dyDescent="0.35">
      <c r="A409" s="469" t="s">
        <v>710</v>
      </c>
      <c r="B409" s="470"/>
      <c r="C409" s="183"/>
      <c r="D409" s="150" t="s">
        <v>89</v>
      </c>
      <c r="E409" s="150" t="s">
        <v>89</v>
      </c>
      <c r="F409" s="150" t="s">
        <v>89</v>
      </c>
      <c r="G409" s="469" t="s">
        <v>718</v>
      </c>
      <c r="H409" s="470"/>
      <c r="I409" s="247" t="s">
        <v>89</v>
      </c>
      <c r="J409" s="247" t="s">
        <v>89</v>
      </c>
      <c r="K409" s="247" t="s">
        <v>89</v>
      </c>
    </row>
    <row r="410" spans="1:11" ht="15" thickBot="1" x14ac:dyDescent="0.4">
      <c r="A410" s="490" t="s">
        <v>92</v>
      </c>
      <c r="B410" s="491"/>
      <c r="C410" s="185"/>
      <c r="D410" s="115" t="s">
        <v>89</v>
      </c>
      <c r="E410" s="115" t="s">
        <v>89</v>
      </c>
      <c r="F410" s="115" t="s">
        <v>89</v>
      </c>
      <c r="G410" s="490" t="s">
        <v>92</v>
      </c>
      <c r="H410" s="491"/>
      <c r="I410" s="246" t="s">
        <v>89</v>
      </c>
      <c r="J410" s="246" t="s">
        <v>89</v>
      </c>
      <c r="K410" s="246" t="s">
        <v>89</v>
      </c>
    </row>
    <row r="411" spans="1:11" x14ac:dyDescent="0.35">
      <c r="A411" s="469" t="s">
        <v>712</v>
      </c>
      <c r="B411" s="470"/>
      <c r="C411" s="183"/>
      <c r="D411" s="150" t="s">
        <v>89</v>
      </c>
      <c r="E411" s="150" t="s">
        <v>89</v>
      </c>
      <c r="F411" s="150" t="s">
        <v>89</v>
      </c>
      <c r="G411" s="469" t="s">
        <v>720</v>
      </c>
      <c r="H411" s="470"/>
      <c r="I411" s="247" t="s">
        <v>89</v>
      </c>
      <c r="J411" s="247" t="s">
        <v>89</v>
      </c>
      <c r="K411" s="247" t="s">
        <v>89</v>
      </c>
    </row>
    <row r="412" spans="1:11" ht="15" thickBot="1" x14ac:dyDescent="0.4">
      <c r="A412" s="490" t="s">
        <v>92</v>
      </c>
      <c r="B412" s="491"/>
      <c r="C412" s="185"/>
      <c r="D412" s="115" t="s">
        <v>89</v>
      </c>
      <c r="E412" s="115" t="s">
        <v>89</v>
      </c>
      <c r="F412" s="115" t="s">
        <v>89</v>
      </c>
      <c r="G412" s="490" t="s">
        <v>92</v>
      </c>
      <c r="H412" s="491"/>
      <c r="I412" s="246" t="s">
        <v>89</v>
      </c>
      <c r="J412" s="246" t="s">
        <v>89</v>
      </c>
      <c r="K412" s="246" t="s">
        <v>89</v>
      </c>
    </row>
    <row r="413" spans="1:11" x14ac:dyDescent="0.35">
      <c r="A413" s="469" t="s">
        <v>714</v>
      </c>
      <c r="B413" s="470"/>
      <c r="C413" s="183"/>
      <c r="D413" s="150" t="s">
        <v>89</v>
      </c>
      <c r="E413" s="150" t="s">
        <v>89</v>
      </c>
      <c r="F413" s="150" t="s">
        <v>89</v>
      </c>
      <c r="G413" s="469" t="s">
        <v>722</v>
      </c>
      <c r="H413" s="470"/>
      <c r="I413" s="247" t="s">
        <v>89</v>
      </c>
      <c r="J413" s="247" t="s">
        <v>89</v>
      </c>
      <c r="K413" s="247" t="s">
        <v>89</v>
      </c>
    </row>
    <row r="414" spans="1:11" ht="15" thickBot="1" x14ac:dyDescent="0.4">
      <c r="A414" s="490" t="s">
        <v>92</v>
      </c>
      <c r="B414" s="491"/>
      <c r="C414" s="185"/>
      <c r="D414" s="115" t="s">
        <v>89</v>
      </c>
      <c r="E414" s="115" t="s">
        <v>89</v>
      </c>
      <c r="F414" s="115" t="s">
        <v>89</v>
      </c>
      <c r="G414" s="490" t="s">
        <v>92</v>
      </c>
      <c r="H414" s="491"/>
      <c r="I414" s="246" t="s">
        <v>89</v>
      </c>
      <c r="J414" s="246" t="s">
        <v>89</v>
      </c>
      <c r="K414" s="246" t="s">
        <v>89</v>
      </c>
    </row>
    <row r="415" spans="1:11" x14ac:dyDescent="0.35">
      <c r="A415" s="469" t="s">
        <v>716</v>
      </c>
      <c r="B415" s="470"/>
      <c r="C415" s="183"/>
      <c r="D415" s="150" t="s">
        <v>89</v>
      </c>
      <c r="E415" s="150" t="s">
        <v>89</v>
      </c>
      <c r="F415" s="150" t="s">
        <v>89</v>
      </c>
      <c r="G415" s="469" t="s">
        <v>724</v>
      </c>
      <c r="H415" s="470"/>
      <c r="I415" s="247" t="s">
        <v>89</v>
      </c>
      <c r="J415" s="247" t="s">
        <v>89</v>
      </c>
      <c r="K415" s="247" t="s">
        <v>89</v>
      </c>
    </row>
    <row r="416" spans="1:11" ht="15" thickBot="1" x14ac:dyDescent="0.4">
      <c r="A416" s="490" t="s">
        <v>92</v>
      </c>
      <c r="B416" s="491"/>
      <c r="C416" s="185"/>
      <c r="D416" s="115" t="s">
        <v>89</v>
      </c>
      <c r="E416" s="115" t="s">
        <v>89</v>
      </c>
      <c r="F416" s="115" t="s">
        <v>89</v>
      </c>
      <c r="G416" s="490" t="s">
        <v>92</v>
      </c>
      <c r="H416" s="491"/>
      <c r="I416" s="246" t="s">
        <v>89</v>
      </c>
      <c r="J416" s="246" t="s">
        <v>89</v>
      </c>
      <c r="K416" s="246" t="s">
        <v>89</v>
      </c>
    </row>
    <row r="417" spans="1:11" x14ac:dyDescent="0.35">
      <c r="A417" s="469" t="s">
        <v>718</v>
      </c>
      <c r="B417" s="470"/>
      <c r="C417" s="183"/>
      <c r="D417" s="150" t="s">
        <v>89</v>
      </c>
      <c r="E417" s="150" t="s">
        <v>89</v>
      </c>
      <c r="F417" s="150" t="s">
        <v>89</v>
      </c>
      <c r="G417" s="469" t="s">
        <v>726</v>
      </c>
      <c r="H417" s="470"/>
      <c r="I417" s="247" t="s">
        <v>89</v>
      </c>
      <c r="J417" s="247" t="s">
        <v>89</v>
      </c>
      <c r="K417" s="247" t="s">
        <v>89</v>
      </c>
    </row>
    <row r="418" spans="1:11" ht="15" thickBot="1" x14ac:dyDescent="0.4">
      <c r="A418" s="490" t="s">
        <v>92</v>
      </c>
      <c r="B418" s="491"/>
      <c r="C418" s="185"/>
      <c r="D418" s="115" t="s">
        <v>89</v>
      </c>
      <c r="E418" s="115" t="s">
        <v>89</v>
      </c>
      <c r="F418" s="115" t="s">
        <v>89</v>
      </c>
      <c r="G418" s="490" t="s">
        <v>92</v>
      </c>
      <c r="H418" s="491"/>
      <c r="I418" s="246" t="s">
        <v>89</v>
      </c>
      <c r="J418" s="246" t="s">
        <v>89</v>
      </c>
      <c r="K418" s="246" t="s">
        <v>89</v>
      </c>
    </row>
    <row r="419" spans="1:11" x14ac:dyDescent="0.35">
      <c r="A419" s="469" t="s">
        <v>720</v>
      </c>
      <c r="B419" s="470"/>
      <c r="C419" s="183"/>
      <c r="D419" s="150" t="s">
        <v>89</v>
      </c>
      <c r="E419" s="150" t="s">
        <v>89</v>
      </c>
      <c r="F419" s="150" t="s">
        <v>89</v>
      </c>
      <c r="G419" s="469" t="s">
        <v>728</v>
      </c>
      <c r="H419" s="470"/>
      <c r="I419" s="247" t="s">
        <v>89</v>
      </c>
      <c r="J419" s="247" t="s">
        <v>89</v>
      </c>
      <c r="K419" s="247" t="s">
        <v>89</v>
      </c>
    </row>
    <row r="420" spans="1:11" ht="15" thickBot="1" x14ac:dyDescent="0.4">
      <c r="A420" s="490" t="s">
        <v>92</v>
      </c>
      <c r="B420" s="491"/>
      <c r="C420" s="185"/>
      <c r="D420" s="115" t="s">
        <v>89</v>
      </c>
      <c r="E420" s="115" t="s">
        <v>89</v>
      </c>
      <c r="F420" s="115" t="s">
        <v>89</v>
      </c>
      <c r="G420" s="490" t="s">
        <v>92</v>
      </c>
      <c r="H420" s="491"/>
      <c r="I420" s="246" t="s">
        <v>89</v>
      </c>
      <c r="J420" s="246" t="s">
        <v>89</v>
      </c>
      <c r="K420" s="246" t="s">
        <v>89</v>
      </c>
    </row>
    <row r="421" spans="1:11" ht="15" thickBot="1" x14ac:dyDescent="0.4">
      <c r="A421" s="469" t="s">
        <v>722</v>
      </c>
      <c r="B421" s="470"/>
      <c r="C421" s="183"/>
      <c r="D421" s="150" t="s">
        <v>89</v>
      </c>
      <c r="E421" s="150" t="s">
        <v>89</v>
      </c>
      <c r="F421" s="150" t="s">
        <v>89</v>
      </c>
      <c r="G421" s="540" t="s">
        <v>730</v>
      </c>
      <c r="H421" s="540"/>
      <c r="I421" s="251"/>
      <c r="J421" s="251"/>
      <c r="K421" s="251"/>
    </row>
    <row r="422" spans="1:11" ht="15" thickBot="1" x14ac:dyDescent="0.4">
      <c r="A422" s="490" t="s">
        <v>92</v>
      </c>
      <c r="B422" s="491"/>
      <c r="C422" s="185"/>
      <c r="D422" s="115" t="s">
        <v>89</v>
      </c>
      <c r="E422" s="115" t="s">
        <v>89</v>
      </c>
      <c r="F422" s="115" t="s">
        <v>89</v>
      </c>
      <c r="G422" s="493" t="s">
        <v>732</v>
      </c>
      <c r="H422" s="494"/>
      <c r="I422" s="247"/>
      <c r="J422" s="247"/>
      <c r="K422" s="247"/>
    </row>
    <row r="423" spans="1:11" x14ac:dyDescent="0.35">
      <c r="A423" s="469" t="s">
        <v>724</v>
      </c>
      <c r="B423" s="470"/>
      <c r="C423" s="183"/>
      <c r="D423" s="150" t="s">
        <v>89</v>
      </c>
      <c r="E423" s="150" t="s">
        <v>89</v>
      </c>
      <c r="F423" s="150" t="s">
        <v>89</v>
      </c>
      <c r="G423" s="497" t="s">
        <v>734</v>
      </c>
      <c r="H423" s="498"/>
      <c r="I423" s="252" t="s">
        <v>735</v>
      </c>
      <c r="J423" s="252" t="s">
        <v>735</v>
      </c>
      <c r="K423" s="252" t="s">
        <v>736</v>
      </c>
    </row>
    <row r="424" spans="1:11" ht="15" thickBot="1" x14ac:dyDescent="0.4">
      <c r="A424" s="490" t="s">
        <v>92</v>
      </c>
      <c r="B424" s="491"/>
      <c r="C424" s="185"/>
      <c r="D424" s="115" t="s">
        <v>89</v>
      </c>
      <c r="E424" s="115" t="s">
        <v>89</v>
      </c>
      <c r="F424" s="115" t="s">
        <v>89</v>
      </c>
      <c r="G424" s="499"/>
      <c r="H424" s="500"/>
      <c r="I424" s="253" t="s">
        <v>739</v>
      </c>
      <c r="J424" s="253" t="s">
        <v>739</v>
      </c>
      <c r="K424" s="253" t="s">
        <v>739</v>
      </c>
    </row>
    <row r="425" spans="1:11" x14ac:dyDescent="0.35">
      <c r="A425" s="469" t="s">
        <v>726</v>
      </c>
      <c r="B425" s="470"/>
      <c r="C425" s="183"/>
      <c r="D425" s="150" t="s">
        <v>89</v>
      </c>
      <c r="E425" s="150" t="s">
        <v>89</v>
      </c>
      <c r="F425" s="150" t="s">
        <v>89</v>
      </c>
      <c r="G425" s="499"/>
      <c r="H425" s="500"/>
      <c r="I425" s="252" t="s">
        <v>741</v>
      </c>
      <c r="J425" s="252" t="s">
        <v>741</v>
      </c>
      <c r="K425" s="252" t="s">
        <v>742</v>
      </c>
    </row>
    <row r="426" spans="1:11" ht="15" thickBot="1" x14ac:dyDescent="0.4">
      <c r="A426" s="490" t="s">
        <v>92</v>
      </c>
      <c r="B426" s="491"/>
      <c r="C426" s="185"/>
      <c r="D426" s="115" t="s">
        <v>89</v>
      </c>
      <c r="E426" s="115" t="s">
        <v>89</v>
      </c>
      <c r="F426" s="115" t="s">
        <v>89</v>
      </c>
      <c r="G426" s="499"/>
      <c r="H426" s="500"/>
      <c r="I426" s="253" t="s">
        <v>739</v>
      </c>
      <c r="J426" s="253" t="s">
        <v>739</v>
      </c>
      <c r="K426" s="253" t="s">
        <v>739</v>
      </c>
    </row>
    <row r="427" spans="1:11" x14ac:dyDescent="0.35">
      <c r="A427" s="469" t="s">
        <v>728</v>
      </c>
      <c r="B427" s="470"/>
      <c r="C427" s="183"/>
      <c r="D427" s="150" t="s">
        <v>89</v>
      </c>
      <c r="E427" s="150" t="s">
        <v>89</v>
      </c>
      <c r="F427" s="150" t="s">
        <v>89</v>
      </c>
      <c r="G427" s="499"/>
      <c r="H427" s="500"/>
      <c r="I427" s="252" t="s">
        <v>747</v>
      </c>
      <c r="J427" s="252" t="s">
        <v>748</v>
      </c>
      <c r="K427" s="252" t="s">
        <v>748</v>
      </c>
    </row>
    <row r="428" spans="1:11" ht="15" thickBot="1" x14ac:dyDescent="0.4">
      <c r="A428" s="490" t="s">
        <v>92</v>
      </c>
      <c r="B428" s="491"/>
      <c r="C428" s="185"/>
      <c r="D428" s="115" t="s">
        <v>89</v>
      </c>
      <c r="E428" s="115" t="s">
        <v>89</v>
      </c>
      <c r="F428" s="115" t="s">
        <v>89</v>
      </c>
      <c r="G428" s="501"/>
      <c r="H428" s="502"/>
      <c r="I428" s="253" t="s">
        <v>751</v>
      </c>
      <c r="J428" s="253" t="s">
        <v>751</v>
      </c>
      <c r="K428" s="253" t="s">
        <v>751</v>
      </c>
    </row>
    <row r="429" spans="1:11" ht="15" thickBot="1" x14ac:dyDescent="0.4">
      <c r="A429" s="540" t="s">
        <v>730</v>
      </c>
      <c r="B429" s="540"/>
      <c r="C429" s="155"/>
      <c r="D429" s="154"/>
      <c r="E429" s="154"/>
      <c r="F429" s="154"/>
      <c r="G429" s="497" t="s">
        <v>753</v>
      </c>
      <c r="H429" s="498"/>
      <c r="I429" s="252" t="s">
        <v>754</v>
      </c>
      <c r="J429" s="252" t="s">
        <v>754</v>
      </c>
      <c r="K429" s="252" t="s">
        <v>754</v>
      </c>
    </row>
    <row r="430" spans="1:11" ht="15" thickBot="1" x14ac:dyDescent="0.4">
      <c r="A430" s="493" t="s">
        <v>732</v>
      </c>
      <c r="B430" s="494"/>
      <c r="C430" s="207"/>
      <c r="D430" s="156"/>
      <c r="E430" s="156"/>
      <c r="F430" s="156"/>
      <c r="G430" s="499"/>
      <c r="H430" s="500"/>
      <c r="I430" s="253" t="s">
        <v>756</v>
      </c>
      <c r="J430" s="253" t="s">
        <v>757</v>
      </c>
      <c r="K430" s="253" t="s">
        <v>758</v>
      </c>
    </row>
    <row r="431" spans="1:11" x14ac:dyDescent="0.35">
      <c r="A431" s="544" t="s">
        <v>734</v>
      </c>
      <c r="B431" s="545"/>
      <c r="C431" s="184"/>
      <c r="D431" s="148" t="s">
        <v>736</v>
      </c>
      <c r="E431" s="148" t="s">
        <v>737</v>
      </c>
      <c r="F431" s="148" t="s">
        <v>737</v>
      </c>
      <c r="G431" s="499"/>
      <c r="H431" s="500"/>
      <c r="I431" s="252" t="s">
        <v>754</v>
      </c>
      <c r="J431" s="252" t="s">
        <v>754</v>
      </c>
      <c r="K431" s="541" t="s">
        <v>89</v>
      </c>
    </row>
    <row r="432" spans="1:11" ht="15" thickBot="1" x14ac:dyDescent="0.4">
      <c r="A432" s="546"/>
      <c r="B432" s="547"/>
      <c r="C432" s="203"/>
      <c r="D432" s="158" t="s">
        <v>739</v>
      </c>
      <c r="E432" s="158" t="s">
        <v>739</v>
      </c>
      <c r="F432" s="158" t="s">
        <v>739</v>
      </c>
      <c r="G432" s="499"/>
      <c r="H432" s="500"/>
      <c r="I432" s="253" t="s">
        <v>761</v>
      </c>
      <c r="J432" s="253" t="s">
        <v>762</v>
      </c>
      <c r="K432" s="543"/>
    </row>
    <row r="433" spans="1:11" x14ac:dyDescent="0.35">
      <c r="A433" s="546"/>
      <c r="B433" s="547"/>
      <c r="C433" s="203"/>
      <c r="D433" s="148" t="s">
        <v>742</v>
      </c>
      <c r="E433" s="148" t="s">
        <v>743</v>
      </c>
      <c r="F433" s="148" t="s">
        <v>744</v>
      </c>
      <c r="G433" s="499"/>
      <c r="H433" s="500"/>
      <c r="I433" s="252" t="s">
        <v>754</v>
      </c>
      <c r="J433" s="252" t="s">
        <v>754</v>
      </c>
      <c r="K433" s="541" t="s">
        <v>89</v>
      </c>
    </row>
    <row r="434" spans="1:11" ht="15" thickBot="1" x14ac:dyDescent="0.4">
      <c r="A434" s="546"/>
      <c r="B434" s="547"/>
      <c r="C434" s="203"/>
      <c r="D434" s="158" t="s">
        <v>739</v>
      </c>
      <c r="E434" s="158" t="s">
        <v>739</v>
      </c>
      <c r="F434" s="158" t="s">
        <v>739</v>
      </c>
      <c r="G434" s="499"/>
      <c r="H434" s="500"/>
      <c r="I434" s="253" t="s">
        <v>764</v>
      </c>
      <c r="J434" s="253" t="s">
        <v>765</v>
      </c>
      <c r="K434" s="543"/>
    </row>
    <row r="435" spans="1:11" x14ac:dyDescent="0.35">
      <c r="A435" s="546"/>
      <c r="B435" s="547"/>
      <c r="C435" s="203"/>
      <c r="D435" s="148" t="s">
        <v>748</v>
      </c>
      <c r="E435" s="148" t="s">
        <v>749</v>
      </c>
      <c r="F435" s="148" t="s">
        <v>749</v>
      </c>
      <c r="G435" s="499"/>
      <c r="H435" s="500"/>
      <c r="I435" s="252" t="s">
        <v>754</v>
      </c>
      <c r="J435" s="541" t="s">
        <v>89</v>
      </c>
      <c r="K435" s="541" t="s">
        <v>89</v>
      </c>
    </row>
    <row r="436" spans="1:11" ht="15" thickBot="1" x14ac:dyDescent="0.4">
      <c r="A436" s="548"/>
      <c r="B436" s="549"/>
      <c r="C436" s="203"/>
      <c r="D436" s="158" t="s">
        <v>751</v>
      </c>
      <c r="E436" s="158" t="s">
        <v>751</v>
      </c>
      <c r="F436" s="158" t="s">
        <v>751</v>
      </c>
      <c r="G436" s="499"/>
      <c r="H436" s="500"/>
      <c r="I436" s="253" t="s">
        <v>764</v>
      </c>
      <c r="J436" s="543"/>
      <c r="K436" s="543"/>
    </row>
    <row r="437" spans="1:11" x14ac:dyDescent="0.35">
      <c r="A437" s="544" t="s">
        <v>753</v>
      </c>
      <c r="B437" s="545"/>
      <c r="C437" s="184"/>
      <c r="D437" s="148" t="s">
        <v>754</v>
      </c>
      <c r="E437" s="495" t="s">
        <v>89</v>
      </c>
      <c r="F437" s="495" t="s">
        <v>89</v>
      </c>
      <c r="G437" s="499"/>
      <c r="H437" s="500"/>
      <c r="I437" s="252" t="s">
        <v>754</v>
      </c>
      <c r="J437" s="541" t="s">
        <v>89</v>
      </c>
      <c r="K437" s="541" t="s">
        <v>89</v>
      </c>
    </row>
    <row r="438" spans="1:11" ht="15" thickBot="1" x14ac:dyDescent="0.4">
      <c r="A438" s="546"/>
      <c r="B438" s="547"/>
      <c r="C438" s="203"/>
      <c r="D438" s="158" t="s">
        <v>758</v>
      </c>
      <c r="E438" s="503"/>
      <c r="F438" s="503"/>
      <c r="G438" s="499"/>
      <c r="H438" s="500"/>
      <c r="I438" s="253" t="s">
        <v>770</v>
      </c>
      <c r="J438" s="543"/>
      <c r="K438" s="543"/>
    </row>
    <row r="439" spans="1:11" x14ac:dyDescent="0.35">
      <c r="A439" s="546"/>
      <c r="B439" s="547"/>
      <c r="C439" s="203"/>
      <c r="D439" s="495" t="s">
        <v>89</v>
      </c>
      <c r="E439" s="495" t="s">
        <v>89</v>
      </c>
      <c r="F439" s="495" t="s">
        <v>89</v>
      </c>
      <c r="G439" s="499"/>
      <c r="H439" s="500"/>
      <c r="I439" s="252" t="s">
        <v>754</v>
      </c>
      <c r="J439" s="541" t="s">
        <v>89</v>
      </c>
      <c r="K439" s="541" t="s">
        <v>89</v>
      </c>
    </row>
    <row r="440" spans="1:11" ht="15" thickBot="1" x14ac:dyDescent="0.4">
      <c r="A440" s="546"/>
      <c r="B440" s="547"/>
      <c r="C440" s="203"/>
      <c r="D440" s="503"/>
      <c r="E440" s="503"/>
      <c r="F440" s="503"/>
      <c r="G440" s="501"/>
      <c r="H440" s="502"/>
      <c r="I440" s="253" t="s">
        <v>773</v>
      </c>
      <c r="J440" s="543"/>
      <c r="K440" s="543"/>
    </row>
    <row r="441" spans="1:11" x14ac:dyDescent="0.35">
      <c r="A441" s="546"/>
      <c r="B441" s="547"/>
      <c r="C441" s="203"/>
      <c r="D441" s="495" t="s">
        <v>89</v>
      </c>
      <c r="E441" s="495" t="s">
        <v>89</v>
      </c>
      <c r="F441" s="495" t="s">
        <v>89</v>
      </c>
      <c r="G441" s="497" t="s">
        <v>775</v>
      </c>
      <c r="H441" s="498"/>
      <c r="I441" s="252" t="s">
        <v>776</v>
      </c>
      <c r="J441" s="252" t="s">
        <v>777</v>
      </c>
      <c r="K441" s="252" t="s">
        <v>776</v>
      </c>
    </row>
    <row r="442" spans="1:11" ht="15" thickBot="1" x14ac:dyDescent="0.4">
      <c r="A442" s="546"/>
      <c r="B442" s="547"/>
      <c r="C442" s="203"/>
      <c r="D442" s="503"/>
      <c r="E442" s="503"/>
      <c r="F442" s="503"/>
      <c r="G442" s="499"/>
      <c r="H442" s="500"/>
      <c r="I442" s="253" t="s">
        <v>779</v>
      </c>
      <c r="J442" s="253" t="s">
        <v>779</v>
      </c>
      <c r="K442" s="253" t="s">
        <v>780</v>
      </c>
    </row>
    <row r="443" spans="1:11" x14ac:dyDescent="0.35">
      <c r="A443" s="546"/>
      <c r="B443" s="547"/>
      <c r="C443" s="203"/>
      <c r="D443" s="495" t="s">
        <v>89</v>
      </c>
      <c r="E443" s="495" t="s">
        <v>89</v>
      </c>
      <c r="F443" s="495" t="s">
        <v>89</v>
      </c>
      <c r="G443" s="499"/>
      <c r="H443" s="500"/>
      <c r="I443" s="252" t="s">
        <v>776</v>
      </c>
      <c r="J443" s="252" t="s">
        <v>776</v>
      </c>
      <c r="K443" s="252" t="s">
        <v>776</v>
      </c>
    </row>
    <row r="444" spans="1:11" ht="15" thickBot="1" x14ac:dyDescent="0.4">
      <c r="A444" s="546"/>
      <c r="B444" s="547"/>
      <c r="C444" s="203"/>
      <c r="D444" s="503"/>
      <c r="E444" s="503"/>
      <c r="F444" s="503"/>
      <c r="G444" s="499"/>
      <c r="H444" s="500"/>
      <c r="I444" s="253" t="s">
        <v>786</v>
      </c>
      <c r="J444" s="253" t="s">
        <v>786</v>
      </c>
      <c r="K444" s="253" t="s">
        <v>787</v>
      </c>
    </row>
    <row r="445" spans="1:11" x14ac:dyDescent="0.35">
      <c r="A445" s="546"/>
      <c r="B445" s="547"/>
      <c r="C445" s="203"/>
      <c r="D445" s="495" t="s">
        <v>89</v>
      </c>
      <c r="E445" s="495" t="s">
        <v>89</v>
      </c>
      <c r="F445" s="495" t="s">
        <v>89</v>
      </c>
      <c r="G445" s="499"/>
      <c r="H445" s="500"/>
      <c r="I445" s="252" t="s">
        <v>776</v>
      </c>
      <c r="J445" s="252" t="s">
        <v>776</v>
      </c>
      <c r="K445" s="252" t="s">
        <v>776</v>
      </c>
    </row>
    <row r="446" spans="1:11" ht="15" thickBot="1" x14ac:dyDescent="0.4">
      <c r="A446" s="546"/>
      <c r="B446" s="547"/>
      <c r="C446" s="203"/>
      <c r="D446" s="503"/>
      <c r="E446" s="503"/>
      <c r="F446" s="503"/>
      <c r="G446" s="501"/>
      <c r="H446" s="502"/>
      <c r="I446" s="253" t="s">
        <v>791</v>
      </c>
      <c r="J446" s="253" t="s">
        <v>792</v>
      </c>
      <c r="K446" s="253" t="s">
        <v>792</v>
      </c>
    </row>
    <row r="447" spans="1:11" x14ac:dyDescent="0.35">
      <c r="A447" s="546"/>
      <c r="B447" s="547"/>
      <c r="C447" s="203"/>
      <c r="D447" s="495" t="s">
        <v>89</v>
      </c>
      <c r="E447" s="495" t="s">
        <v>89</v>
      </c>
      <c r="F447" s="495" t="s">
        <v>89</v>
      </c>
      <c r="G447" s="497" t="s">
        <v>796</v>
      </c>
      <c r="H447" s="498"/>
      <c r="I447" s="252">
        <v>0.20902777777777778</v>
      </c>
      <c r="J447" s="541" t="s">
        <v>89</v>
      </c>
      <c r="K447" s="252">
        <v>0.20902777777777778</v>
      </c>
    </row>
    <row r="448" spans="1:11" ht="15" thickBot="1" x14ac:dyDescent="0.4">
      <c r="A448" s="546"/>
      <c r="B448" s="547"/>
      <c r="C448" s="203"/>
      <c r="D448" s="503"/>
      <c r="E448" s="503"/>
      <c r="F448" s="503"/>
      <c r="G448" s="499"/>
      <c r="H448" s="500"/>
      <c r="I448" s="253" t="s">
        <v>798</v>
      </c>
      <c r="J448" s="542"/>
      <c r="K448" s="253" t="s">
        <v>799</v>
      </c>
    </row>
    <row r="449" spans="1:9" ht="15" thickBot="1" x14ac:dyDescent="0.4">
      <c r="A449" s="546"/>
      <c r="B449" s="547"/>
      <c r="C449" s="203"/>
      <c r="D449" s="495" t="s">
        <v>89</v>
      </c>
      <c r="E449" s="495" t="s">
        <v>89</v>
      </c>
      <c r="F449" s="495" t="s">
        <v>89</v>
      </c>
      <c r="G449" s="492" t="s">
        <v>801</v>
      </c>
      <c r="H449" s="492"/>
      <c r="I449" s="254"/>
    </row>
    <row r="450" spans="1:9" ht="15" thickBot="1" x14ac:dyDescent="0.4">
      <c r="A450" s="546"/>
      <c r="B450" s="547"/>
      <c r="C450" s="203"/>
      <c r="D450" s="503"/>
      <c r="E450" s="503"/>
      <c r="F450" s="503"/>
      <c r="G450" s="493" t="s">
        <v>732</v>
      </c>
      <c r="H450" s="494"/>
      <c r="I450" s="247"/>
    </row>
    <row r="451" spans="1:9" ht="15" thickBot="1" x14ac:dyDescent="0.4">
      <c r="A451" s="546"/>
      <c r="B451" s="547"/>
      <c r="C451" s="203"/>
      <c r="D451" s="495" t="s">
        <v>89</v>
      </c>
      <c r="E451" s="495" t="s">
        <v>89</v>
      </c>
      <c r="F451" s="495" t="s">
        <v>89</v>
      </c>
      <c r="G451" s="159">
        <v>2024</v>
      </c>
      <c r="H451" s="255" t="s">
        <v>775</v>
      </c>
      <c r="I451" s="252" t="s">
        <v>784</v>
      </c>
    </row>
    <row r="452" spans="1:9" ht="15" thickBot="1" x14ac:dyDescent="0.4">
      <c r="A452" s="546"/>
      <c r="B452" s="547"/>
      <c r="C452" s="203"/>
      <c r="D452" s="503"/>
      <c r="E452" s="503"/>
      <c r="F452" s="503"/>
      <c r="G452" s="159"/>
      <c r="H452" s="255"/>
      <c r="I452" s="253" t="s">
        <v>805</v>
      </c>
    </row>
    <row r="453" spans="1:9" ht="15" thickBot="1" x14ac:dyDescent="0.4">
      <c r="A453" s="546"/>
      <c r="B453" s="547"/>
      <c r="C453" s="203"/>
      <c r="D453" s="495" t="s">
        <v>89</v>
      </c>
      <c r="E453" s="495" t="s">
        <v>89</v>
      </c>
      <c r="F453" s="495" t="s">
        <v>89</v>
      </c>
      <c r="G453" s="159"/>
      <c r="H453" s="255"/>
      <c r="I453" s="252" t="s">
        <v>784</v>
      </c>
    </row>
    <row r="454" spans="1:9" ht="15" thickBot="1" x14ac:dyDescent="0.4">
      <c r="A454" s="546"/>
      <c r="B454" s="547"/>
      <c r="C454" s="203"/>
      <c r="D454" s="503"/>
      <c r="E454" s="503"/>
      <c r="F454" s="503"/>
      <c r="G454" s="159"/>
      <c r="H454" s="255"/>
      <c r="I454" s="253" t="s">
        <v>792</v>
      </c>
    </row>
    <row r="455" spans="1:9" x14ac:dyDescent="0.35">
      <c r="A455" s="546"/>
      <c r="B455" s="547"/>
      <c r="C455" s="495" t="s">
        <v>89</v>
      </c>
      <c r="D455" s="495" t="s">
        <v>89</v>
      </c>
      <c r="E455" s="495" t="s">
        <v>89</v>
      </c>
      <c r="G455" s="159">
        <v>2023</v>
      </c>
      <c r="H455" s="255" t="s">
        <v>734</v>
      </c>
      <c r="I455" s="252" t="s">
        <v>806</v>
      </c>
    </row>
    <row r="456" spans="1:9" ht="15" thickBot="1" x14ac:dyDescent="0.4">
      <c r="A456" s="546"/>
      <c r="B456" s="547"/>
      <c r="C456" s="503"/>
      <c r="D456" s="503"/>
      <c r="E456" s="503"/>
    </row>
    <row r="457" spans="1:9" x14ac:dyDescent="0.35">
      <c r="A457" s="546"/>
      <c r="B457" s="547"/>
      <c r="C457" s="495" t="s">
        <v>89</v>
      </c>
      <c r="D457" s="495" t="s">
        <v>89</v>
      </c>
      <c r="E457" s="495" t="s">
        <v>89</v>
      </c>
    </row>
    <row r="458" spans="1:9" ht="15" thickBot="1" x14ac:dyDescent="0.4">
      <c r="A458" s="548"/>
      <c r="B458" s="549"/>
      <c r="C458" s="496"/>
      <c r="D458" s="496"/>
      <c r="E458" s="496"/>
    </row>
    <row r="459" spans="1:9" x14ac:dyDescent="0.35">
      <c r="A459" s="544" t="s">
        <v>775</v>
      </c>
      <c r="B459" s="545"/>
      <c r="C459" s="148" t="s">
        <v>776</v>
      </c>
      <c r="D459" s="148" t="s">
        <v>777</v>
      </c>
      <c r="E459" s="148" t="s">
        <v>777</v>
      </c>
    </row>
    <row r="460" spans="1:9" ht="15" thickBot="1" x14ac:dyDescent="0.4">
      <c r="A460" s="546"/>
      <c r="B460" s="547"/>
      <c r="C460" s="158" t="s">
        <v>780</v>
      </c>
      <c r="D460" s="158" t="s">
        <v>781</v>
      </c>
      <c r="E460" s="158" t="s">
        <v>782</v>
      </c>
    </row>
    <row r="461" spans="1:9" x14ac:dyDescent="0.35">
      <c r="A461" s="546"/>
      <c r="B461" s="547"/>
      <c r="C461" s="148" t="s">
        <v>776</v>
      </c>
      <c r="D461" s="148" t="s">
        <v>784</v>
      </c>
      <c r="E461" s="148" t="s">
        <v>776</v>
      </c>
    </row>
    <row r="462" spans="1:9" ht="15" thickBot="1" x14ac:dyDescent="0.4">
      <c r="A462" s="546"/>
      <c r="B462" s="547"/>
      <c r="C462" s="158" t="s">
        <v>787</v>
      </c>
      <c r="D462" s="158" t="s">
        <v>788</v>
      </c>
      <c r="E462" s="158" t="s">
        <v>782</v>
      </c>
    </row>
    <row r="463" spans="1:9" x14ac:dyDescent="0.35">
      <c r="A463" s="546"/>
      <c r="B463" s="547"/>
      <c r="C463" s="148" t="s">
        <v>776</v>
      </c>
      <c r="D463" s="148" t="s">
        <v>776</v>
      </c>
      <c r="E463" s="148" t="s">
        <v>777</v>
      </c>
    </row>
    <row r="464" spans="1:9" ht="15" thickBot="1" x14ac:dyDescent="0.4">
      <c r="A464" s="548"/>
      <c r="B464" s="549"/>
      <c r="C464" s="158" t="s">
        <v>792</v>
      </c>
      <c r="D464" s="158" t="s">
        <v>793</v>
      </c>
      <c r="E464" s="158" t="s">
        <v>794</v>
      </c>
    </row>
    <row r="465" spans="1:5" x14ac:dyDescent="0.35">
      <c r="A465" s="544" t="s">
        <v>1079</v>
      </c>
      <c r="B465" s="545"/>
      <c r="C465" s="495" t="s">
        <v>89</v>
      </c>
      <c r="D465" s="495" t="s">
        <v>89</v>
      </c>
      <c r="E465" s="495" t="s">
        <v>89</v>
      </c>
    </row>
    <row r="466" spans="1:5" ht="15" thickBot="1" x14ac:dyDescent="0.4">
      <c r="A466" s="548"/>
      <c r="B466" s="549"/>
      <c r="C466" s="496"/>
      <c r="D466" s="496"/>
      <c r="E466" s="496"/>
    </row>
    <row r="467" spans="1:5" x14ac:dyDescent="0.35">
      <c r="A467" s="544" t="s">
        <v>796</v>
      </c>
      <c r="B467" s="545"/>
      <c r="C467" s="148">
        <v>0.20902777777777778</v>
      </c>
      <c r="D467" s="495" t="s">
        <v>89</v>
      </c>
      <c r="E467" s="495" t="s">
        <v>89</v>
      </c>
    </row>
    <row r="468" spans="1:5" x14ac:dyDescent="0.35">
      <c r="A468" s="546"/>
      <c r="B468" s="547"/>
      <c r="C468" s="158" t="s">
        <v>799</v>
      </c>
      <c r="D468" s="496"/>
      <c r="E468" s="496"/>
    </row>
    <row r="469" spans="1:5" ht="15" thickBot="1" x14ac:dyDescent="0.4">
      <c r="A469" s="492" t="s">
        <v>801</v>
      </c>
      <c r="B469" s="492"/>
      <c r="C469" s="155"/>
    </row>
    <row r="470" spans="1:5" ht="15" thickBot="1" x14ac:dyDescent="0.4">
      <c r="A470" s="493" t="s">
        <v>732</v>
      </c>
      <c r="B470" s="494"/>
      <c r="C470" s="156"/>
    </row>
    <row r="471" spans="1:5" ht="40" thickBot="1" x14ac:dyDescent="0.4">
      <c r="A471" s="159">
        <v>2023</v>
      </c>
      <c r="B471" s="157" t="s">
        <v>734</v>
      </c>
      <c r="C471" s="148" t="s">
        <v>749</v>
      </c>
    </row>
    <row r="472" spans="1:5" ht="15" thickBot="1" x14ac:dyDescent="0.4">
      <c r="A472" s="159"/>
      <c r="B472" s="157"/>
      <c r="C472" s="158" t="s">
        <v>751</v>
      </c>
    </row>
    <row r="473" spans="1:5" ht="27" thickBot="1" x14ac:dyDescent="0.4">
      <c r="A473" s="159"/>
      <c r="B473" s="157" t="s">
        <v>775</v>
      </c>
      <c r="C473" s="148" t="s">
        <v>776</v>
      </c>
    </row>
    <row r="474" spans="1:5" ht="15" thickBot="1" x14ac:dyDescent="0.4">
      <c r="A474" s="159"/>
      <c r="B474" s="157"/>
      <c r="C474" s="158" t="s">
        <v>1080</v>
      </c>
    </row>
    <row r="475" spans="1:5" ht="15" thickBot="1" x14ac:dyDescent="0.4">
      <c r="A475" s="159"/>
      <c r="B475" s="157"/>
      <c r="C475" s="148" t="s">
        <v>777</v>
      </c>
    </row>
    <row r="476" spans="1:5" ht="15" thickBot="1" x14ac:dyDescent="0.4">
      <c r="A476" s="159"/>
      <c r="B476" s="157"/>
      <c r="C476" s="158" t="s">
        <v>1080</v>
      </c>
    </row>
    <row r="477" spans="1:5" ht="15" thickBot="1" x14ac:dyDescent="0.4">
      <c r="A477" s="159"/>
      <c r="B477" s="157"/>
      <c r="C477" s="148" t="s">
        <v>777</v>
      </c>
    </row>
    <row r="478" spans="1:5" x14ac:dyDescent="0.35">
      <c r="A478" s="159"/>
      <c r="B478" s="157"/>
      <c r="C478" s="158" t="s">
        <v>792</v>
      </c>
    </row>
  </sheetData>
  <sortState xmlns:xlrd2="http://schemas.microsoft.com/office/spreadsheetml/2017/richdata2" columnSort="1" ref="C5:G77">
    <sortCondition ref="C5:G5"/>
  </sortState>
  <mergeCells count="567">
    <mergeCell ref="F437:F438"/>
    <mergeCell ref="F439:F440"/>
    <mergeCell ref="F441:F442"/>
    <mergeCell ref="F443:F444"/>
    <mergeCell ref="F445:F446"/>
    <mergeCell ref="F447:F448"/>
    <mergeCell ref="F449:F450"/>
    <mergeCell ref="C455:C456"/>
    <mergeCell ref="C457:C458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D439:D440"/>
    <mergeCell ref="D441:D442"/>
    <mergeCell ref="D443:D444"/>
    <mergeCell ref="D445:D446"/>
    <mergeCell ref="D447:D448"/>
    <mergeCell ref="D449:D450"/>
    <mergeCell ref="D451:D452"/>
    <mergeCell ref="F451:F452"/>
    <mergeCell ref="F453:F454"/>
    <mergeCell ref="E455:E456"/>
    <mergeCell ref="E457:E458"/>
    <mergeCell ref="E453:E454"/>
    <mergeCell ref="D455:D456"/>
    <mergeCell ref="D457:D458"/>
    <mergeCell ref="D453:D454"/>
    <mergeCell ref="C465:C466"/>
    <mergeCell ref="D465:D466"/>
    <mergeCell ref="D467:D468"/>
    <mergeCell ref="E467:E468"/>
    <mergeCell ref="A84:B84"/>
    <mergeCell ref="A85:B85"/>
    <mergeCell ref="A86:B86"/>
    <mergeCell ref="A87:B87"/>
    <mergeCell ref="A88:B88"/>
    <mergeCell ref="A89:B89"/>
    <mergeCell ref="A90:B90"/>
    <mergeCell ref="E465:E466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59:B464"/>
    <mergeCell ref="A465:B466"/>
    <mergeCell ref="A467:B468"/>
    <mergeCell ref="A469:B469"/>
    <mergeCell ref="A470:B470"/>
    <mergeCell ref="A427:B427"/>
    <mergeCell ref="A428:B428"/>
    <mergeCell ref="A429:B429"/>
    <mergeCell ref="A430:B430"/>
    <mergeCell ref="A431:B436"/>
    <mergeCell ref="A437:B458"/>
    <mergeCell ref="J447:J448"/>
    <mergeCell ref="G423:H428"/>
    <mergeCell ref="G429:H440"/>
    <mergeCell ref="G441:H446"/>
    <mergeCell ref="J439:J440"/>
    <mergeCell ref="J437:J438"/>
    <mergeCell ref="J435:J436"/>
    <mergeCell ref="K439:K440"/>
    <mergeCell ref="K437:K438"/>
    <mergeCell ref="K435:K436"/>
    <mergeCell ref="G447:H448"/>
    <mergeCell ref="K433:K434"/>
    <mergeCell ref="K431:K432"/>
    <mergeCell ref="G449:H449"/>
    <mergeCell ref="G450:H450"/>
    <mergeCell ref="G417:H417"/>
    <mergeCell ref="G418:H418"/>
    <mergeCell ref="G419:H419"/>
    <mergeCell ref="G420:H420"/>
    <mergeCell ref="G421:H421"/>
    <mergeCell ref="G422:H422"/>
    <mergeCell ref="G411:H411"/>
    <mergeCell ref="G412:H412"/>
    <mergeCell ref="G413:H413"/>
    <mergeCell ref="G414:H414"/>
    <mergeCell ref="G415:H415"/>
    <mergeCell ref="G416:H416"/>
    <mergeCell ref="G405:H405"/>
    <mergeCell ref="G406:H406"/>
    <mergeCell ref="G407:H407"/>
    <mergeCell ref="G408:H408"/>
    <mergeCell ref="G409:H409"/>
    <mergeCell ref="G410:H410"/>
    <mergeCell ref="G399:H399"/>
    <mergeCell ref="G400:H400"/>
    <mergeCell ref="G401:H401"/>
    <mergeCell ref="G402:H402"/>
    <mergeCell ref="G403:H403"/>
    <mergeCell ref="G404:H404"/>
    <mergeCell ref="G393:H393"/>
    <mergeCell ref="G394:H394"/>
    <mergeCell ref="G395:H395"/>
    <mergeCell ref="G396:H396"/>
    <mergeCell ref="G397:H397"/>
    <mergeCell ref="G398:H398"/>
    <mergeCell ref="G387:H387"/>
    <mergeCell ref="G388:H388"/>
    <mergeCell ref="G389:H389"/>
    <mergeCell ref="G390:H390"/>
    <mergeCell ref="G391:H391"/>
    <mergeCell ref="G392:H392"/>
    <mergeCell ref="G381:H381"/>
    <mergeCell ref="G382:H382"/>
    <mergeCell ref="G383:H383"/>
    <mergeCell ref="G384:H384"/>
    <mergeCell ref="G385:H385"/>
    <mergeCell ref="G386:H386"/>
    <mergeCell ref="G375:H375"/>
    <mergeCell ref="G376:H376"/>
    <mergeCell ref="G377:H377"/>
    <mergeCell ref="G378:H378"/>
    <mergeCell ref="G379:H379"/>
    <mergeCell ref="G380:H380"/>
    <mergeCell ref="G369:H369"/>
    <mergeCell ref="G370:H370"/>
    <mergeCell ref="G371:H371"/>
    <mergeCell ref="G372:H372"/>
    <mergeCell ref="G373:H373"/>
    <mergeCell ref="G374:H374"/>
    <mergeCell ref="G363:H363"/>
    <mergeCell ref="G364:H364"/>
    <mergeCell ref="G365:H365"/>
    <mergeCell ref="G366:H366"/>
    <mergeCell ref="G367:H367"/>
    <mergeCell ref="G368:H368"/>
    <mergeCell ref="G360:H360"/>
    <mergeCell ref="G361:H361"/>
    <mergeCell ref="G362:H362"/>
    <mergeCell ref="G351:H35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43:H343"/>
    <mergeCell ref="G344:H344"/>
    <mergeCell ref="G357:H357"/>
    <mergeCell ref="G358:H358"/>
    <mergeCell ref="G359:H359"/>
    <mergeCell ref="G333:H333"/>
    <mergeCell ref="G334:H334"/>
    <mergeCell ref="G345:H345"/>
    <mergeCell ref="G346:H346"/>
    <mergeCell ref="G329:H329"/>
    <mergeCell ref="G330:H330"/>
    <mergeCell ref="G331:H331"/>
    <mergeCell ref="G332:H332"/>
    <mergeCell ref="G339:H339"/>
    <mergeCell ref="G340:H340"/>
    <mergeCell ref="G341:H341"/>
    <mergeCell ref="G342:H342"/>
    <mergeCell ref="G335:H335"/>
    <mergeCell ref="G336:H336"/>
    <mergeCell ref="G337:H337"/>
    <mergeCell ref="G338:H338"/>
    <mergeCell ref="J283:J284"/>
    <mergeCell ref="K283:K284"/>
    <mergeCell ref="I285:I286"/>
    <mergeCell ref="J285:J286"/>
    <mergeCell ref="K285:K286"/>
    <mergeCell ref="I287:I288"/>
    <mergeCell ref="J287:J288"/>
    <mergeCell ref="K287:K288"/>
    <mergeCell ref="H289:H290"/>
    <mergeCell ref="I289:I290"/>
    <mergeCell ref="J289:J290"/>
    <mergeCell ref="K289:K290"/>
    <mergeCell ref="I291:I292"/>
    <mergeCell ref="J291:J292"/>
    <mergeCell ref="K291:K292"/>
    <mergeCell ref="H293:H294"/>
    <mergeCell ref="I293:I294"/>
    <mergeCell ref="J293:J294"/>
    <mergeCell ref="K293:K294"/>
    <mergeCell ref="G295:G296"/>
    <mergeCell ref="H295:H296"/>
    <mergeCell ref="I295:I296"/>
    <mergeCell ref="J295:J296"/>
    <mergeCell ref="K295:K296"/>
    <mergeCell ref="H291:H292"/>
    <mergeCell ref="I297:I298"/>
    <mergeCell ref="J297:J298"/>
    <mergeCell ref="K297:K298"/>
    <mergeCell ref="G299:G300"/>
    <mergeCell ref="H299:H300"/>
    <mergeCell ref="I299:I300"/>
    <mergeCell ref="J299:J300"/>
    <mergeCell ref="K299:K300"/>
    <mergeCell ref="G301:G302"/>
    <mergeCell ref="H301:H302"/>
    <mergeCell ref="I301:I302"/>
    <mergeCell ref="J301:J302"/>
    <mergeCell ref="K301:K302"/>
    <mergeCell ref="G297:G298"/>
    <mergeCell ref="H297:H298"/>
    <mergeCell ref="J303:J304"/>
    <mergeCell ref="K303:K304"/>
    <mergeCell ref="G311:G312"/>
    <mergeCell ref="H311:H312"/>
    <mergeCell ref="I311:I312"/>
    <mergeCell ref="J311:J312"/>
    <mergeCell ref="K311:K312"/>
    <mergeCell ref="H313:H314"/>
    <mergeCell ref="J313:J314"/>
    <mergeCell ref="K313:K314"/>
    <mergeCell ref="G303:G304"/>
    <mergeCell ref="H303:H304"/>
    <mergeCell ref="G324:H324"/>
    <mergeCell ref="G325:H325"/>
    <mergeCell ref="G326:H326"/>
    <mergeCell ref="G327:H327"/>
    <mergeCell ref="G328:H328"/>
    <mergeCell ref="G317:H317"/>
    <mergeCell ref="G318:H318"/>
    <mergeCell ref="G319:H319"/>
    <mergeCell ref="I303:I304"/>
    <mergeCell ref="G320:H320"/>
    <mergeCell ref="G321:H321"/>
    <mergeCell ref="G322:H322"/>
    <mergeCell ref="G315:H315"/>
    <mergeCell ref="G316:H316"/>
    <mergeCell ref="G323:H3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62CE-0226-4744-B9E6-EE4B094E8FDF}">
  <dimension ref="A1:AG122"/>
  <sheetViews>
    <sheetView workbookViewId="0"/>
  </sheetViews>
  <sheetFormatPr defaultRowHeight="14.5" x14ac:dyDescent="0.35"/>
  <cols>
    <col min="1" max="1" width="14.453125" style="2" customWidth="1"/>
    <col min="2" max="7" width="27.54296875" style="2" customWidth="1"/>
    <col min="8" max="8" width="22" style="2" customWidth="1"/>
    <col min="9" max="11" width="9.1796875" style="2" bestFit="1" customWidth="1"/>
    <col min="12" max="12" width="37.81640625" style="2" customWidth="1"/>
    <col min="13" max="17" width="26.453125" style="2" customWidth="1"/>
    <col min="18" max="18" width="31" style="2" bestFit="1" customWidth="1"/>
    <col min="19" max="19" width="17.1796875" style="2" customWidth="1"/>
    <col min="20" max="20" width="30.26953125" style="2" bestFit="1" customWidth="1"/>
    <col min="21" max="25" width="30.26953125" style="2" customWidth="1"/>
    <col min="26" max="26" width="22" style="2" bestFit="1" customWidth="1"/>
    <col min="27" max="28" width="9.1796875" style="2" bestFit="1" customWidth="1"/>
    <col min="29" max="29" width="27.453125" style="2" bestFit="1" customWidth="1"/>
    <col min="30" max="30" width="22" style="2" bestFit="1" customWidth="1"/>
    <col min="31" max="271" width="9.1796875" style="2" bestFit="1" customWidth="1"/>
    <col min="272" max="272" width="14.453125" style="2" customWidth="1"/>
    <col min="273" max="273" width="27.54296875" style="2" customWidth="1"/>
    <col min="274" max="274" width="22" style="2" customWidth="1"/>
    <col min="275" max="277" width="9.1796875" style="2" bestFit="1" customWidth="1"/>
    <col min="278" max="278" width="20.453125" style="2" customWidth="1"/>
    <col min="279" max="527" width="9.1796875" style="2" bestFit="1" customWidth="1"/>
    <col min="528" max="528" width="14.453125" style="2" customWidth="1"/>
    <col min="529" max="529" width="27.54296875" style="2" customWidth="1"/>
    <col min="530" max="530" width="22" style="2" customWidth="1"/>
    <col min="531" max="533" width="9.1796875" style="2" bestFit="1" customWidth="1"/>
    <col min="534" max="534" width="20.453125" style="2" customWidth="1"/>
    <col min="535" max="783" width="9.1796875" style="2" bestFit="1" customWidth="1"/>
    <col min="784" max="784" width="14.453125" style="2" customWidth="1"/>
    <col min="785" max="785" width="27.54296875" style="2" customWidth="1"/>
    <col min="786" max="786" width="22" style="2" customWidth="1"/>
    <col min="787" max="789" width="9.1796875" style="2" bestFit="1" customWidth="1"/>
    <col min="790" max="790" width="20.453125" style="2" customWidth="1"/>
    <col min="791" max="1039" width="9.1796875" style="2" bestFit="1" customWidth="1"/>
    <col min="1040" max="1040" width="14.453125" style="2" customWidth="1"/>
    <col min="1041" max="1041" width="27.54296875" style="2" customWidth="1"/>
    <col min="1042" max="1042" width="22" style="2" customWidth="1"/>
    <col min="1043" max="1045" width="9.1796875" style="2" bestFit="1" customWidth="1"/>
    <col min="1046" max="1046" width="20.453125" style="2" customWidth="1"/>
    <col min="1047" max="1295" width="9.1796875" style="2" bestFit="1" customWidth="1"/>
    <col min="1296" max="1296" width="14.453125" style="2" customWidth="1"/>
    <col min="1297" max="1297" width="27.54296875" style="2" customWidth="1"/>
    <col min="1298" max="1298" width="22" style="2" customWidth="1"/>
    <col min="1299" max="1301" width="9.1796875" style="2" bestFit="1" customWidth="1"/>
    <col min="1302" max="1302" width="20.453125" style="2" customWidth="1"/>
    <col min="1303" max="1551" width="9.1796875" style="2" bestFit="1" customWidth="1"/>
    <col min="1552" max="1552" width="14.453125" style="2" customWidth="1"/>
    <col min="1553" max="1553" width="27.54296875" style="2" customWidth="1"/>
    <col min="1554" max="1554" width="22" style="2" customWidth="1"/>
    <col min="1555" max="1557" width="9.1796875" style="2" bestFit="1" customWidth="1"/>
    <col min="1558" max="1558" width="20.453125" style="2" customWidth="1"/>
    <col min="1559" max="1807" width="9.1796875" style="2" bestFit="1" customWidth="1"/>
    <col min="1808" max="1808" width="14.453125" style="2" customWidth="1"/>
    <col min="1809" max="1809" width="27.54296875" style="2" customWidth="1"/>
    <col min="1810" max="1810" width="22" style="2" customWidth="1"/>
    <col min="1811" max="1813" width="9.1796875" style="2" bestFit="1" customWidth="1"/>
    <col min="1814" max="1814" width="20.453125" style="2" customWidth="1"/>
    <col min="1815" max="2063" width="9.1796875" style="2" bestFit="1" customWidth="1"/>
    <col min="2064" max="2064" width="14.453125" style="2" customWidth="1"/>
    <col min="2065" max="2065" width="27.54296875" style="2" customWidth="1"/>
    <col min="2066" max="2066" width="22" style="2" customWidth="1"/>
    <col min="2067" max="2069" width="9.1796875" style="2" bestFit="1" customWidth="1"/>
    <col min="2070" max="2070" width="20.453125" style="2" customWidth="1"/>
    <col min="2071" max="2319" width="9.1796875" style="2" bestFit="1" customWidth="1"/>
    <col min="2320" max="2320" width="14.453125" style="2" customWidth="1"/>
    <col min="2321" max="2321" width="27.54296875" style="2" customWidth="1"/>
    <col min="2322" max="2322" width="22" style="2" customWidth="1"/>
    <col min="2323" max="2325" width="9.1796875" style="2" bestFit="1" customWidth="1"/>
    <col min="2326" max="2326" width="20.453125" style="2" customWidth="1"/>
    <col min="2327" max="2575" width="9.1796875" style="2" bestFit="1" customWidth="1"/>
    <col min="2576" max="2576" width="14.453125" style="2" customWidth="1"/>
    <col min="2577" max="2577" width="27.54296875" style="2" customWidth="1"/>
    <col min="2578" max="2578" width="22" style="2" customWidth="1"/>
    <col min="2579" max="2581" width="9.1796875" style="2" bestFit="1" customWidth="1"/>
    <col min="2582" max="2582" width="20.453125" style="2" customWidth="1"/>
    <col min="2583" max="2831" width="9.1796875" style="2" bestFit="1" customWidth="1"/>
    <col min="2832" max="2832" width="14.453125" style="2" customWidth="1"/>
    <col min="2833" max="2833" width="27.54296875" style="2" customWidth="1"/>
    <col min="2834" max="2834" width="22" style="2" customWidth="1"/>
    <col min="2835" max="2837" width="9.1796875" style="2" bestFit="1" customWidth="1"/>
    <col min="2838" max="2838" width="20.453125" style="2" customWidth="1"/>
    <col min="2839" max="3087" width="9.1796875" style="2" bestFit="1" customWidth="1"/>
    <col min="3088" max="3088" width="14.453125" style="2" customWidth="1"/>
    <col min="3089" max="3089" width="27.54296875" style="2" customWidth="1"/>
    <col min="3090" max="3090" width="22" style="2" customWidth="1"/>
    <col min="3091" max="3093" width="9.1796875" style="2" bestFit="1" customWidth="1"/>
    <col min="3094" max="3094" width="20.453125" style="2" customWidth="1"/>
    <col min="3095" max="3343" width="9.1796875" style="2" bestFit="1" customWidth="1"/>
    <col min="3344" max="3344" width="14.453125" style="2" customWidth="1"/>
    <col min="3345" max="3345" width="27.54296875" style="2" customWidth="1"/>
    <col min="3346" max="3346" width="22" style="2" customWidth="1"/>
    <col min="3347" max="3349" width="9.1796875" style="2" bestFit="1" customWidth="1"/>
    <col min="3350" max="3350" width="20.453125" style="2" customWidth="1"/>
    <col min="3351" max="3599" width="9.1796875" style="2" bestFit="1" customWidth="1"/>
    <col min="3600" max="3600" width="14.453125" style="2" customWidth="1"/>
    <col min="3601" max="3601" width="27.54296875" style="2" customWidth="1"/>
    <col min="3602" max="3602" width="22" style="2" customWidth="1"/>
    <col min="3603" max="3605" width="9.1796875" style="2" bestFit="1" customWidth="1"/>
    <col min="3606" max="3606" width="20.453125" style="2" customWidth="1"/>
    <col min="3607" max="3855" width="9.1796875" style="2" bestFit="1" customWidth="1"/>
    <col min="3856" max="3856" width="14.453125" style="2" customWidth="1"/>
    <col min="3857" max="3857" width="27.54296875" style="2" customWidth="1"/>
    <col min="3858" max="3858" width="22" style="2" customWidth="1"/>
    <col min="3859" max="3861" width="9.1796875" style="2" bestFit="1" customWidth="1"/>
    <col min="3862" max="3862" width="20.453125" style="2" customWidth="1"/>
    <col min="3863" max="4111" width="9.1796875" style="2" bestFit="1" customWidth="1"/>
    <col min="4112" max="4112" width="14.453125" style="2" customWidth="1"/>
    <col min="4113" max="4113" width="27.54296875" style="2" customWidth="1"/>
    <col min="4114" max="4114" width="22" style="2" customWidth="1"/>
    <col min="4115" max="4117" width="9.1796875" style="2" bestFit="1" customWidth="1"/>
    <col min="4118" max="4118" width="20.453125" style="2" customWidth="1"/>
    <col min="4119" max="4367" width="9.1796875" style="2" bestFit="1" customWidth="1"/>
    <col min="4368" max="4368" width="14.453125" style="2" customWidth="1"/>
    <col min="4369" max="4369" width="27.54296875" style="2" customWidth="1"/>
    <col min="4370" max="4370" width="22" style="2" customWidth="1"/>
    <col min="4371" max="4373" width="9.1796875" style="2" bestFit="1" customWidth="1"/>
    <col min="4374" max="4374" width="20.453125" style="2" customWidth="1"/>
    <col min="4375" max="4623" width="9.1796875" style="2" bestFit="1" customWidth="1"/>
    <col min="4624" max="4624" width="14.453125" style="2" customWidth="1"/>
    <col min="4625" max="4625" width="27.54296875" style="2" customWidth="1"/>
    <col min="4626" max="4626" width="22" style="2" customWidth="1"/>
    <col min="4627" max="4629" width="9.1796875" style="2" bestFit="1" customWidth="1"/>
    <col min="4630" max="4630" width="20.453125" style="2" customWidth="1"/>
    <col min="4631" max="4879" width="9.1796875" style="2" bestFit="1" customWidth="1"/>
    <col min="4880" max="4880" width="14.453125" style="2" customWidth="1"/>
    <col min="4881" max="4881" width="27.54296875" style="2" customWidth="1"/>
    <col min="4882" max="4882" width="22" style="2" customWidth="1"/>
    <col min="4883" max="4885" width="9.1796875" style="2" bestFit="1" customWidth="1"/>
    <col min="4886" max="4886" width="20.453125" style="2" customWidth="1"/>
    <col min="4887" max="5135" width="9.1796875" style="2" bestFit="1" customWidth="1"/>
    <col min="5136" max="5136" width="14.453125" style="2" customWidth="1"/>
    <col min="5137" max="5137" width="27.54296875" style="2" customWidth="1"/>
    <col min="5138" max="5138" width="22" style="2" customWidth="1"/>
    <col min="5139" max="5141" width="9.1796875" style="2" bestFit="1" customWidth="1"/>
    <col min="5142" max="5142" width="20.453125" style="2" customWidth="1"/>
    <col min="5143" max="5391" width="9.1796875" style="2" bestFit="1" customWidth="1"/>
    <col min="5392" max="5392" width="14.453125" style="2" customWidth="1"/>
    <col min="5393" max="5393" width="27.54296875" style="2" customWidth="1"/>
    <col min="5394" max="5394" width="22" style="2" customWidth="1"/>
    <col min="5395" max="5397" width="9.1796875" style="2" bestFit="1" customWidth="1"/>
    <col min="5398" max="5398" width="20.453125" style="2" customWidth="1"/>
    <col min="5399" max="5647" width="9.1796875" style="2" bestFit="1" customWidth="1"/>
    <col min="5648" max="5648" width="14.453125" style="2" customWidth="1"/>
    <col min="5649" max="5649" width="27.54296875" style="2" customWidth="1"/>
    <col min="5650" max="5650" width="22" style="2" customWidth="1"/>
    <col min="5651" max="5653" width="9.1796875" style="2" bestFit="1" customWidth="1"/>
    <col min="5654" max="5654" width="20.453125" style="2" customWidth="1"/>
    <col min="5655" max="5903" width="9.1796875" style="2" bestFit="1" customWidth="1"/>
    <col min="5904" max="5904" width="14.453125" style="2" customWidth="1"/>
    <col min="5905" max="5905" width="27.54296875" style="2" customWidth="1"/>
    <col min="5906" max="5906" width="22" style="2" customWidth="1"/>
    <col min="5907" max="5909" width="9.1796875" style="2" bestFit="1" customWidth="1"/>
    <col min="5910" max="5910" width="20.453125" style="2" customWidth="1"/>
    <col min="5911" max="6159" width="9.1796875" style="2" bestFit="1" customWidth="1"/>
    <col min="6160" max="6160" width="14.453125" style="2" customWidth="1"/>
    <col min="6161" max="6161" width="27.54296875" style="2" customWidth="1"/>
    <col min="6162" max="6162" width="22" style="2" customWidth="1"/>
    <col min="6163" max="6165" width="9.1796875" style="2" bestFit="1" customWidth="1"/>
    <col min="6166" max="6166" width="20.453125" style="2" customWidth="1"/>
    <col min="6167" max="6415" width="9.1796875" style="2" bestFit="1" customWidth="1"/>
    <col min="6416" max="6416" width="14.453125" style="2" customWidth="1"/>
    <col min="6417" max="6417" width="27.54296875" style="2" customWidth="1"/>
    <col min="6418" max="6418" width="22" style="2" customWidth="1"/>
    <col min="6419" max="6421" width="9.1796875" style="2" bestFit="1" customWidth="1"/>
    <col min="6422" max="6422" width="20.453125" style="2" customWidth="1"/>
    <col min="6423" max="6671" width="9.1796875" style="2" bestFit="1" customWidth="1"/>
    <col min="6672" max="6672" width="14.453125" style="2" customWidth="1"/>
    <col min="6673" max="6673" width="27.54296875" style="2" customWidth="1"/>
    <col min="6674" max="6674" width="22" style="2" customWidth="1"/>
    <col min="6675" max="6677" width="9.1796875" style="2" bestFit="1" customWidth="1"/>
    <col min="6678" max="6678" width="20.453125" style="2" customWidth="1"/>
    <col min="6679" max="6927" width="9.1796875" style="2" bestFit="1" customWidth="1"/>
    <col min="6928" max="6928" width="14.453125" style="2" customWidth="1"/>
    <col min="6929" max="6929" width="27.54296875" style="2" customWidth="1"/>
    <col min="6930" max="6930" width="22" style="2" customWidth="1"/>
    <col min="6931" max="6933" width="9.1796875" style="2" bestFit="1" customWidth="1"/>
    <col min="6934" max="6934" width="20.453125" style="2" customWidth="1"/>
    <col min="6935" max="7183" width="9.1796875" style="2" bestFit="1" customWidth="1"/>
    <col min="7184" max="7184" width="14.453125" style="2" customWidth="1"/>
    <col min="7185" max="7185" width="27.54296875" style="2" customWidth="1"/>
    <col min="7186" max="7186" width="22" style="2" customWidth="1"/>
    <col min="7187" max="7189" width="9.1796875" style="2" bestFit="1" customWidth="1"/>
    <col min="7190" max="7190" width="20.453125" style="2" customWidth="1"/>
    <col min="7191" max="7439" width="9.1796875" style="2" bestFit="1" customWidth="1"/>
    <col min="7440" max="7440" width="14.453125" style="2" customWidth="1"/>
    <col min="7441" max="7441" width="27.54296875" style="2" customWidth="1"/>
    <col min="7442" max="7442" width="22" style="2" customWidth="1"/>
    <col min="7443" max="7445" width="9.1796875" style="2" bestFit="1" customWidth="1"/>
    <col min="7446" max="7446" width="20.453125" style="2" customWidth="1"/>
    <col min="7447" max="7695" width="9.1796875" style="2" bestFit="1" customWidth="1"/>
    <col min="7696" max="7696" width="14.453125" style="2" customWidth="1"/>
    <col min="7697" max="7697" width="27.54296875" style="2" customWidth="1"/>
    <col min="7698" max="7698" width="22" style="2" customWidth="1"/>
    <col min="7699" max="7701" width="9.1796875" style="2" bestFit="1" customWidth="1"/>
    <col min="7702" max="7702" width="20.453125" style="2" customWidth="1"/>
    <col min="7703" max="7951" width="9.1796875" style="2" bestFit="1" customWidth="1"/>
    <col min="7952" max="7952" width="14.453125" style="2" customWidth="1"/>
    <col min="7953" max="7953" width="27.54296875" style="2" customWidth="1"/>
    <col min="7954" max="7954" width="22" style="2" customWidth="1"/>
    <col min="7955" max="7957" width="9.1796875" style="2" bestFit="1" customWidth="1"/>
    <col min="7958" max="7958" width="20.453125" style="2" customWidth="1"/>
    <col min="7959" max="8207" width="9.1796875" style="2" bestFit="1" customWidth="1"/>
    <col min="8208" max="8208" width="14.453125" style="2" customWidth="1"/>
    <col min="8209" max="8209" width="27.54296875" style="2" customWidth="1"/>
    <col min="8210" max="8210" width="22" style="2" customWidth="1"/>
    <col min="8211" max="8213" width="9.1796875" style="2" bestFit="1" customWidth="1"/>
    <col min="8214" max="8214" width="20.453125" style="2" customWidth="1"/>
    <col min="8215" max="8463" width="9.1796875" style="2" bestFit="1" customWidth="1"/>
    <col min="8464" max="8464" width="14.453125" style="2" customWidth="1"/>
    <col min="8465" max="8465" width="27.54296875" style="2" customWidth="1"/>
    <col min="8466" max="8466" width="22" style="2" customWidth="1"/>
    <col min="8467" max="8469" width="9.1796875" style="2" bestFit="1" customWidth="1"/>
    <col min="8470" max="8470" width="20.453125" style="2" customWidth="1"/>
    <col min="8471" max="8719" width="9.1796875" style="2" bestFit="1" customWidth="1"/>
    <col min="8720" max="8720" width="14.453125" style="2" customWidth="1"/>
    <col min="8721" max="8721" width="27.54296875" style="2" customWidth="1"/>
    <col min="8722" max="8722" width="22" style="2" customWidth="1"/>
    <col min="8723" max="8725" width="9.1796875" style="2" bestFit="1" customWidth="1"/>
    <col min="8726" max="8726" width="20.453125" style="2" customWidth="1"/>
    <col min="8727" max="8975" width="9.1796875" style="2" bestFit="1" customWidth="1"/>
    <col min="8976" max="8976" width="14.453125" style="2" customWidth="1"/>
    <col min="8977" max="8977" width="27.54296875" style="2" customWidth="1"/>
    <col min="8978" max="8978" width="22" style="2" customWidth="1"/>
    <col min="8979" max="8981" width="9.1796875" style="2" bestFit="1" customWidth="1"/>
    <col min="8982" max="8982" width="20.453125" style="2" customWidth="1"/>
    <col min="8983" max="9231" width="9.1796875" style="2" bestFit="1" customWidth="1"/>
    <col min="9232" max="9232" width="14.453125" style="2" customWidth="1"/>
    <col min="9233" max="9233" width="27.54296875" style="2" customWidth="1"/>
    <col min="9234" max="9234" width="22" style="2" customWidth="1"/>
    <col min="9235" max="9237" width="9.1796875" style="2" bestFit="1" customWidth="1"/>
    <col min="9238" max="9238" width="20.453125" style="2" customWidth="1"/>
    <col min="9239" max="9487" width="9.1796875" style="2" bestFit="1" customWidth="1"/>
    <col min="9488" max="9488" width="14.453125" style="2" customWidth="1"/>
    <col min="9489" max="9489" width="27.54296875" style="2" customWidth="1"/>
    <col min="9490" max="9490" width="22" style="2" customWidth="1"/>
    <col min="9491" max="9493" width="9.1796875" style="2" bestFit="1" customWidth="1"/>
    <col min="9494" max="9494" width="20.453125" style="2" customWidth="1"/>
    <col min="9495" max="9743" width="9.1796875" style="2" bestFit="1" customWidth="1"/>
    <col min="9744" max="9744" width="14.453125" style="2" customWidth="1"/>
    <col min="9745" max="9745" width="27.54296875" style="2" customWidth="1"/>
    <col min="9746" max="9746" width="22" style="2" customWidth="1"/>
    <col min="9747" max="9749" width="9.1796875" style="2" bestFit="1" customWidth="1"/>
    <col min="9750" max="9750" width="20.453125" style="2" customWidth="1"/>
    <col min="9751" max="9999" width="9.1796875" style="2" bestFit="1" customWidth="1"/>
    <col min="10000" max="10000" width="14.453125" style="2" customWidth="1"/>
    <col min="10001" max="10001" width="27.54296875" style="2" customWidth="1"/>
    <col min="10002" max="10002" width="22" style="2" customWidth="1"/>
    <col min="10003" max="10005" width="9.1796875" style="2" bestFit="1" customWidth="1"/>
    <col min="10006" max="10006" width="20.453125" style="2" customWidth="1"/>
    <col min="10007" max="10255" width="9.1796875" style="2" bestFit="1" customWidth="1"/>
    <col min="10256" max="10256" width="14.453125" style="2" customWidth="1"/>
    <col min="10257" max="10257" width="27.54296875" style="2" customWidth="1"/>
    <col min="10258" max="10258" width="22" style="2" customWidth="1"/>
    <col min="10259" max="10261" width="9.1796875" style="2" bestFit="1" customWidth="1"/>
    <col min="10262" max="10262" width="20.453125" style="2" customWidth="1"/>
    <col min="10263" max="10511" width="9.1796875" style="2" bestFit="1" customWidth="1"/>
    <col min="10512" max="10512" width="14.453125" style="2" customWidth="1"/>
    <col min="10513" max="10513" width="27.54296875" style="2" customWidth="1"/>
    <col min="10514" max="10514" width="22" style="2" customWidth="1"/>
    <col min="10515" max="10517" width="9.1796875" style="2" bestFit="1" customWidth="1"/>
    <col min="10518" max="10518" width="20.453125" style="2" customWidth="1"/>
    <col min="10519" max="10767" width="9.1796875" style="2" bestFit="1" customWidth="1"/>
    <col min="10768" max="10768" width="14.453125" style="2" customWidth="1"/>
    <col min="10769" max="10769" width="27.54296875" style="2" customWidth="1"/>
    <col min="10770" max="10770" width="22" style="2" customWidth="1"/>
    <col min="10771" max="10773" width="9.1796875" style="2" bestFit="1" customWidth="1"/>
    <col min="10774" max="10774" width="20.453125" style="2" customWidth="1"/>
    <col min="10775" max="11023" width="9.1796875" style="2" bestFit="1" customWidth="1"/>
    <col min="11024" max="11024" width="14.453125" style="2" customWidth="1"/>
    <col min="11025" max="11025" width="27.54296875" style="2" customWidth="1"/>
    <col min="11026" max="11026" width="22" style="2" customWidth="1"/>
    <col min="11027" max="11029" width="9.1796875" style="2" bestFit="1" customWidth="1"/>
    <col min="11030" max="11030" width="20.453125" style="2" customWidth="1"/>
    <col min="11031" max="11279" width="9.1796875" style="2" bestFit="1" customWidth="1"/>
    <col min="11280" max="11280" width="14.453125" style="2" customWidth="1"/>
    <col min="11281" max="11281" width="27.54296875" style="2" customWidth="1"/>
    <col min="11282" max="11282" width="22" style="2" customWidth="1"/>
    <col min="11283" max="11285" width="9.1796875" style="2" bestFit="1" customWidth="1"/>
    <col min="11286" max="11286" width="20.453125" style="2" customWidth="1"/>
    <col min="11287" max="11535" width="9.1796875" style="2" bestFit="1" customWidth="1"/>
    <col min="11536" max="11536" width="14.453125" style="2" customWidth="1"/>
    <col min="11537" max="11537" width="27.54296875" style="2" customWidth="1"/>
    <col min="11538" max="11538" width="22" style="2" customWidth="1"/>
    <col min="11539" max="11541" width="9.1796875" style="2" bestFit="1" customWidth="1"/>
    <col min="11542" max="11542" width="20.453125" style="2" customWidth="1"/>
    <col min="11543" max="11791" width="9.1796875" style="2" bestFit="1" customWidth="1"/>
    <col min="11792" max="11792" width="14.453125" style="2" customWidth="1"/>
    <col min="11793" max="11793" width="27.54296875" style="2" customWidth="1"/>
    <col min="11794" max="11794" width="22" style="2" customWidth="1"/>
    <col min="11795" max="11797" width="9.1796875" style="2" bestFit="1" customWidth="1"/>
    <col min="11798" max="11798" width="20.453125" style="2" customWidth="1"/>
    <col min="11799" max="12047" width="9.1796875" style="2" bestFit="1" customWidth="1"/>
    <col min="12048" max="12048" width="14.453125" style="2" customWidth="1"/>
    <col min="12049" max="12049" width="27.54296875" style="2" customWidth="1"/>
    <col min="12050" max="12050" width="22" style="2" customWidth="1"/>
    <col min="12051" max="12053" width="9.1796875" style="2" bestFit="1" customWidth="1"/>
    <col min="12054" max="12054" width="20.453125" style="2" customWidth="1"/>
    <col min="12055" max="12303" width="9.1796875" style="2" bestFit="1" customWidth="1"/>
    <col min="12304" max="12304" width="14.453125" style="2" customWidth="1"/>
    <col min="12305" max="12305" width="27.54296875" style="2" customWidth="1"/>
    <col min="12306" max="12306" width="22" style="2" customWidth="1"/>
    <col min="12307" max="12309" width="9.1796875" style="2" bestFit="1" customWidth="1"/>
    <col min="12310" max="12310" width="20.453125" style="2" customWidth="1"/>
    <col min="12311" max="12559" width="9.1796875" style="2" bestFit="1" customWidth="1"/>
    <col min="12560" max="12560" width="14.453125" style="2" customWidth="1"/>
    <col min="12561" max="12561" width="27.54296875" style="2" customWidth="1"/>
    <col min="12562" max="12562" width="22" style="2" customWidth="1"/>
    <col min="12563" max="12565" width="9.1796875" style="2" bestFit="1" customWidth="1"/>
    <col min="12566" max="12566" width="20.453125" style="2" customWidth="1"/>
    <col min="12567" max="12815" width="9.1796875" style="2" bestFit="1" customWidth="1"/>
    <col min="12816" max="12816" width="14.453125" style="2" customWidth="1"/>
    <col min="12817" max="12817" width="27.54296875" style="2" customWidth="1"/>
    <col min="12818" max="12818" width="22" style="2" customWidth="1"/>
    <col min="12819" max="12821" width="9.1796875" style="2" bestFit="1" customWidth="1"/>
    <col min="12822" max="12822" width="20.453125" style="2" customWidth="1"/>
    <col min="12823" max="13071" width="9.1796875" style="2" bestFit="1" customWidth="1"/>
    <col min="13072" max="13072" width="14.453125" style="2" customWidth="1"/>
    <col min="13073" max="13073" width="27.54296875" style="2" customWidth="1"/>
    <col min="13074" max="13074" width="22" style="2" customWidth="1"/>
    <col min="13075" max="13077" width="9.1796875" style="2" bestFit="1" customWidth="1"/>
    <col min="13078" max="13078" width="20.453125" style="2" customWidth="1"/>
    <col min="13079" max="13327" width="9.1796875" style="2" bestFit="1" customWidth="1"/>
    <col min="13328" max="13328" width="14.453125" style="2" customWidth="1"/>
    <col min="13329" max="13329" width="27.54296875" style="2" customWidth="1"/>
    <col min="13330" max="13330" width="22" style="2" customWidth="1"/>
    <col min="13331" max="13333" width="9.1796875" style="2" bestFit="1" customWidth="1"/>
    <col min="13334" max="13334" width="20.453125" style="2" customWidth="1"/>
    <col min="13335" max="13583" width="9.1796875" style="2" bestFit="1" customWidth="1"/>
    <col min="13584" max="13584" width="14.453125" style="2" customWidth="1"/>
    <col min="13585" max="13585" width="27.54296875" style="2" customWidth="1"/>
    <col min="13586" max="13586" width="22" style="2" customWidth="1"/>
    <col min="13587" max="13589" width="9.1796875" style="2" bestFit="1" customWidth="1"/>
    <col min="13590" max="13590" width="20.453125" style="2" customWidth="1"/>
    <col min="13591" max="13839" width="9.1796875" style="2" bestFit="1" customWidth="1"/>
    <col min="13840" max="13840" width="14.453125" style="2" customWidth="1"/>
    <col min="13841" max="13841" width="27.54296875" style="2" customWidth="1"/>
    <col min="13842" max="13842" width="22" style="2" customWidth="1"/>
    <col min="13843" max="13845" width="9.1796875" style="2" bestFit="1" customWidth="1"/>
    <col min="13846" max="13846" width="20.453125" style="2" customWidth="1"/>
    <col min="13847" max="14095" width="9.1796875" style="2" bestFit="1" customWidth="1"/>
    <col min="14096" max="14096" width="14.453125" style="2" customWidth="1"/>
    <col min="14097" max="14097" width="27.54296875" style="2" customWidth="1"/>
    <col min="14098" max="14098" width="22" style="2" customWidth="1"/>
    <col min="14099" max="14101" width="9.1796875" style="2" bestFit="1" customWidth="1"/>
    <col min="14102" max="14102" width="20.453125" style="2" customWidth="1"/>
    <col min="14103" max="14351" width="9.1796875" style="2" bestFit="1" customWidth="1"/>
    <col min="14352" max="14352" width="14.453125" style="2" customWidth="1"/>
    <col min="14353" max="14353" width="27.54296875" style="2" customWidth="1"/>
    <col min="14354" max="14354" width="22" style="2" customWidth="1"/>
    <col min="14355" max="14357" width="9.1796875" style="2" bestFit="1" customWidth="1"/>
    <col min="14358" max="14358" width="20.453125" style="2" customWidth="1"/>
    <col min="14359" max="14607" width="9.1796875" style="2" bestFit="1" customWidth="1"/>
    <col min="14608" max="14608" width="14.453125" style="2" customWidth="1"/>
    <col min="14609" max="14609" width="27.54296875" style="2" customWidth="1"/>
    <col min="14610" max="14610" width="22" style="2" customWidth="1"/>
    <col min="14611" max="14613" width="9.1796875" style="2" bestFit="1" customWidth="1"/>
    <col min="14614" max="14614" width="20.453125" style="2" customWidth="1"/>
    <col min="14615" max="14863" width="9.1796875" style="2" bestFit="1" customWidth="1"/>
    <col min="14864" max="14864" width="14.453125" style="2" customWidth="1"/>
    <col min="14865" max="14865" width="27.54296875" style="2" customWidth="1"/>
    <col min="14866" max="14866" width="22" style="2" customWidth="1"/>
    <col min="14867" max="14869" width="9.1796875" style="2" bestFit="1" customWidth="1"/>
    <col min="14870" max="14870" width="20.453125" style="2" customWidth="1"/>
    <col min="14871" max="15119" width="9.1796875" style="2" bestFit="1" customWidth="1"/>
    <col min="15120" max="15120" width="14.453125" style="2" customWidth="1"/>
    <col min="15121" max="15121" width="27.54296875" style="2" customWidth="1"/>
    <col min="15122" max="15122" width="22" style="2" customWidth="1"/>
    <col min="15123" max="15125" width="9.1796875" style="2" bestFit="1" customWidth="1"/>
    <col min="15126" max="15126" width="20.453125" style="2" customWidth="1"/>
    <col min="15127" max="15375" width="9.1796875" style="2" bestFit="1" customWidth="1"/>
    <col min="15376" max="15376" width="14.453125" style="2" customWidth="1"/>
    <col min="15377" max="15377" width="27.54296875" style="2" customWidth="1"/>
    <col min="15378" max="15378" width="22" style="2" customWidth="1"/>
    <col min="15379" max="15381" width="9.1796875" style="2" bestFit="1" customWidth="1"/>
    <col min="15382" max="15382" width="20.453125" style="2" customWidth="1"/>
    <col min="15383" max="15631" width="9.1796875" style="2" bestFit="1" customWidth="1"/>
    <col min="15632" max="15632" width="14.453125" style="2" customWidth="1"/>
    <col min="15633" max="15633" width="27.54296875" style="2" customWidth="1"/>
    <col min="15634" max="15634" width="22" style="2" customWidth="1"/>
    <col min="15635" max="15637" width="9.1796875" style="2" bestFit="1" customWidth="1"/>
    <col min="15638" max="15638" width="20.453125" style="2" customWidth="1"/>
    <col min="15639" max="15887" width="9.1796875" style="2" bestFit="1" customWidth="1"/>
    <col min="15888" max="15888" width="14.453125" style="2" customWidth="1"/>
    <col min="15889" max="15889" width="27.54296875" style="2" customWidth="1"/>
    <col min="15890" max="15890" width="22" style="2" customWidth="1"/>
    <col min="15891" max="15893" width="9.1796875" style="2" bestFit="1" customWidth="1"/>
    <col min="15894" max="15894" width="20.453125" style="2" customWidth="1"/>
    <col min="15895" max="16143" width="9.1796875" style="2" bestFit="1" customWidth="1"/>
    <col min="16144" max="16144" width="14.453125" style="2" customWidth="1"/>
    <col min="16145" max="16145" width="27.54296875" style="2" customWidth="1"/>
    <col min="16146" max="16146" width="22" style="2" customWidth="1"/>
    <col min="16147" max="16149" width="9.1796875" style="2" bestFit="1" customWidth="1"/>
    <col min="16150" max="16150" width="20.453125" style="2" customWidth="1"/>
    <col min="16151" max="16384" width="9.1796875" style="2" bestFit="1" customWidth="1"/>
  </cols>
  <sheetData>
    <row r="1" spans="1:33" x14ac:dyDescent="0.35">
      <c r="U1" s="2">
        <f>AC12*V11/(100-AC12)</f>
        <v>3734.7231419354839</v>
      </c>
      <c r="V1" s="2">
        <f>AD12*W11/(100-AD12)</f>
        <v>4066.4131817204297</v>
      </c>
      <c r="W1" s="2">
        <f>AE12*X11/(100-AE12)</f>
        <v>4278.685088172042</v>
      </c>
      <c r="X1" s="2">
        <f>AF12*Y11/(100-AF12)</f>
        <v>3723.9972510638304</v>
      </c>
      <c r="Y1" s="2">
        <f>AG12*Z11/(100-AG12)</f>
        <v>5310.2874608695647</v>
      </c>
      <c r="Z1" s="2">
        <f>AG12*Z11/(100-AG12)</f>
        <v>5310.2874608695647</v>
      </c>
    </row>
    <row r="2" spans="1:33" x14ac:dyDescent="0.35">
      <c r="N2" s="467" t="s">
        <v>171</v>
      </c>
      <c r="O2" s="468"/>
      <c r="P2" s="468"/>
      <c r="Q2" s="468"/>
      <c r="R2" s="468"/>
      <c r="V2" s="467" t="s">
        <v>172</v>
      </c>
      <c r="W2" s="468"/>
      <c r="X2" s="468"/>
      <c r="Y2" s="468"/>
      <c r="Z2" s="468"/>
    </row>
    <row r="3" spans="1:33" x14ac:dyDescent="0.35">
      <c r="A3" s="1" t="s">
        <v>173</v>
      </c>
      <c r="B3" s="1" t="s">
        <v>174</v>
      </c>
      <c r="C3" s="1">
        <v>2018</v>
      </c>
      <c r="D3" s="458">
        <v>2019</v>
      </c>
      <c r="E3" s="458">
        <v>2020</v>
      </c>
      <c r="F3" s="458">
        <v>2021</v>
      </c>
      <c r="G3" s="458">
        <v>2022</v>
      </c>
      <c r="H3" s="458">
        <v>2023</v>
      </c>
      <c r="I3" s="1" t="s">
        <v>175</v>
      </c>
      <c r="L3" s="40"/>
      <c r="M3" s="40">
        <v>2018</v>
      </c>
      <c r="N3" s="40">
        <v>2019</v>
      </c>
      <c r="O3" s="40">
        <v>2020</v>
      </c>
      <c r="P3" s="40">
        <v>2021</v>
      </c>
      <c r="Q3" s="40">
        <v>2022</v>
      </c>
      <c r="R3" s="40">
        <v>2023</v>
      </c>
      <c r="T3" s="47"/>
      <c r="U3" s="47">
        <v>2018</v>
      </c>
      <c r="V3" s="47">
        <v>2019</v>
      </c>
      <c r="W3" s="47">
        <v>2020</v>
      </c>
      <c r="X3" s="47">
        <v>2021</v>
      </c>
      <c r="Y3" s="47">
        <v>2022</v>
      </c>
      <c r="Z3" s="47">
        <v>2023</v>
      </c>
      <c r="AC3" s="47"/>
      <c r="AD3" s="47" t="s">
        <v>176</v>
      </c>
    </row>
    <row r="4" spans="1:33" x14ac:dyDescent="0.35">
      <c r="A4" s="449" t="s">
        <v>177</v>
      </c>
      <c r="B4" s="4" t="s">
        <v>178</v>
      </c>
      <c r="C4" s="71">
        <f>Sheet2!F7</f>
        <v>108205.1</v>
      </c>
      <c r="D4" s="71">
        <f>Sheet2!G7</f>
        <v>117038.9</v>
      </c>
      <c r="E4" s="71">
        <f>Sheet2!H7</f>
        <v>123641.3</v>
      </c>
      <c r="F4" s="71">
        <f>Sheet2!I7</f>
        <v>128093.1</v>
      </c>
      <c r="G4" s="71">
        <f>Sheet2!J7</f>
        <v>132877.6</v>
      </c>
      <c r="H4" s="5">
        <v>140248.79999999999</v>
      </c>
      <c r="I4" s="449" t="s">
        <v>0</v>
      </c>
      <c r="L4" s="41" t="s">
        <v>179</v>
      </c>
      <c r="M4" s="42">
        <f>'baby food'!M8</f>
        <v>18.2</v>
      </c>
      <c r="N4" s="42">
        <f>'baby food'!N8</f>
        <v>19</v>
      </c>
      <c r="O4" s="42">
        <f>'baby food'!O8</f>
        <v>19.899999999999999</v>
      </c>
      <c r="P4" s="42">
        <f>'baby food'!P8</f>
        <v>21.1</v>
      </c>
      <c r="Q4" s="42">
        <f>'baby food'!Q8</f>
        <v>22.4</v>
      </c>
      <c r="R4" s="42">
        <f>'baby food'!R8</f>
        <v>23.2</v>
      </c>
      <c r="S4" s="39"/>
      <c r="T4" s="48" t="s">
        <v>179</v>
      </c>
      <c r="U4" s="49">
        <f t="shared" ref="U4:Z4" si="0">M4*C5/100</f>
        <v>6030.5518000000002</v>
      </c>
      <c r="V4" s="49">
        <f t="shared" si="0"/>
        <v>6282.73</v>
      </c>
      <c r="W4" s="49">
        <f t="shared" si="0"/>
        <v>6582.5418999999993</v>
      </c>
      <c r="X4" s="49">
        <f t="shared" si="0"/>
        <v>6853.1112000000012</v>
      </c>
      <c r="Y4" s="49">
        <f t="shared" si="0"/>
        <v>7271.4431999999997</v>
      </c>
      <c r="Z4" s="49">
        <f t="shared" si="0"/>
        <v>7773.786399999999</v>
      </c>
      <c r="AC4" s="87" t="s">
        <v>179</v>
      </c>
      <c r="AD4" s="94">
        <f>Y16</f>
        <v>0.12463346266107922</v>
      </c>
    </row>
    <row r="5" spans="1:33" x14ac:dyDescent="0.35">
      <c r="A5" s="450" t="s">
        <v>177</v>
      </c>
      <c r="B5" s="6" t="s">
        <v>179</v>
      </c>
      <c r="C5" s="71">
        <f>Sheet2!F8</f>
        <v>33134.9</v>
      </c>
      <c r="D5" s="71">
        <f>Sheet2!G8</f>
        <v>33067</v>
      </c>
      <c r="E5" s="71">
        <f>Sheet2!H8</f>
        <v>33078.1</v>
      </c>
      <c r="F5" s="71">
        <f>Sheet2!I8</f>
        <v>32479.200000000001</v>
      </c>
      <c r="G5" s="71">
        <f>Sheet2!J8</f>
        <v>32461.8</v>
      </c>
      <c r="H5" s="7">
        <v>33507.699999999997</v>
      </c>
      <c r="I5" s="450" t="s">
        <v>0</v>
      </c>
      <c r="L5" s="43" t="s">
        <v>180</v>
      </c>
      <c r="M5" s="42">
        <f>'drinking milk'!E3</f>
        <v>45.3</v>
      </c>
      <c r="N5" s="42">
        <f>'drinking milk'!F3</f>
        <v>48</v>
      </c>
      <c r="O5" s="42">
        <f>'drinking milk'!G3</f>
        <v>48.3</v>
      </c>
      <c r="P5" s="42">
        <f>'drinking milk'!H3</f>
        <v>47.9</v>
      </c>
      <c r="Q5" s="42">
        <f>'drinking milk'!I3</f>
        <v>46.1</v>
      </c>
      <c r="R5" s="42">
        <f>'drinking milk'!J3</f>
        <v>44.8</v>
      </c>
      <c r="S5" s="39"/>
      <c r="T5" s="48" t="s">
        <v>180</v>
      </c>
      <c r="U5" s="49">
        <f t="shared" ref="U5:Z6" si="1">M5*C11/100</f>
        <v>20287.740900000001</v>
      </c>
      <c r="V5" s="49">
        <f t="shared" si="1"/>
        <v>24016.704000000005</v>
      </c>
      <c r="W5" s="49">
        <f t="shared" si="1"/>
        <v>26157.1548</v>
      </c>
      <c r="X5" s="49">
        <f t="shared" si="1"/>
        <v>27401.003399999998</v>
      </c>
      <c r="Y5" s="49">
        <f t="shared" si="1"/>
        <v>27325.682800000002</v>
      </c>
      <c r="Z5" s="49">
        <f t="shared" si="1"/>
        <v>28002.374400000001</v>
      </c>
      <c r="AC5" s="87" t="s">
        <v>180</v>
      </c>
      <c r="AD5" s="94">
        <f>Y17</f>
        <v>0.46836568384970606</v>
      </c>
    </row>
    <row r="6" spans="1:33" x14ac:dyDescent="0.35">
      <c r="A6" s="449" t="s">
        <v>177</v>
      </c>
      <c r="B6" s="6" t="s">
        <v>181</v>
      </c>
      <c r="C6" s="71">
        <f>Sheet2!F9</f>
        <v>69764.3</v>
      </c>
      <c r="D6" s="71">
        <f>Sheet2!G9</f>
        <v>78195.199999999997</v>
      </c>
      <c r="E6" s="71">
        <f>Sheet2!H9</f>
        <v>85067.199999999997</v>
      </c>
      <c r="F6" s="71">
        <f>Sheet2!I9</f>
        <v>90188.7</v>
      </c>
      <c r="G6" s="71">
        <f>Sheet2!J9</f>
        <v>94712.9</v>
      </c>
      <c r="H6" s="5">
        <v>100734.2</v>
      </c>
      <c r="I6" s="449" t="s">
        <v>0</v>
      </c>
      <c r="L6" s="43" t="s">
        <v>182</v>
      </c>
      <c r="M6" s="42">
        <f>'yogurt and sour milk'!E7</f>
        <v>66.8</v>
      </c>
      <c r="N6" s="42">
        <f>'yogurt and sour milk'!F7</f>
        <v>66</v>
      </c>
      <c r="O6" s="42">
        <f>'yogurt and sour milk'!G7</f>
        <v>65.8</v>
      </c>
      <c r="P6" s="42">
        <f>'yogurt and sour milk'!H7</f>
        <v>65.5</v>
      </c>
      <c r="Q6" s="42">
        <f>'yogurt and sour milk'!I7</f>
        <v>63.6</v>
      </c>
      <c r="R6" s="42">
        <f>'yogurt and sour milk'!J7</f>
        <v>62.5</v>
      </c>
      <c r="S6" s="39"/>
      <c r="T6" s="48" t="s">
        <v>182</v>
      </c>
      <c r="U6" s="49">
        <f t="shared" si="1"/>
        <v>9900.5616000000009</v>
      </c>
      <c r="V6" s="49">
        <f t="shared" si="1"/>
        <v>11235.972</v>
      </c>
      <c r="W6" s="49">
        <f t="shared" si="1"/>
        <v>12499.762799999999</v>
      </c>
      <c r="X6" s="49">
        <f t="shared" si="1"/>
        <v>13519.2</v>
      </c>
      <c r="Y6" s="49">
        <f t="shared" si="1"/>
        <v>14228.146799999999</v>
      </c>
      <c r="Z6" s="49">
        <f t="shared" si="1"/>
        <v>15174.625</v>
      </c>
      <c r="AC6" s="87" t="s">
        <v>182</v>
      </c>
      <c r="AD6" s="94">
        <f>Y18</f>
        <v>0.24387224848763911</v>
      </c>
    </row>
    <row r="7" spans="1:33" x14ac:dyDescent="0.35">
      <c r="A7" s="449"/>
      <c r="B7" s="6" t="s">
        <v>145</v>
      </c>
      <c r="C7" s="71">
        <f t="shared" ref="C7:H7" si="2">C14</f>
        <v>7515.4</v>
      </c>
      <c r="D7" s="71">
        <f t="shared" si="2"/>
        <v>8187.9</v>
      </c>
      <c r="E7" s="71">
        <f t="shared" si="2"/>
        <v>8759.2999999999993</v>
      </c>
      <c r="F7" s="71">
        <f t="shared" si="2"/>
        <v>9022.9</v>
      </c>
      <c r="G7" s="71">
        <f t="shared" si="2"/>
        <v>9492.4</v>
      </c>
      <c r="H7" s="71">
        <f t="shared" si="2"/>
        <v>10078.5</v>
      </c>
      <c r="I7" s="449"/>
      <c r="L7" s="6" t="s">
        <v>145</v>
      </c>
      <c r="M7" s="42">
        <f>'Condensed milk'!D7</f>
        <v>79.3</v>
      </c>
      <c r="N7" s="42">
        <f>'Condensed milk'!E7</f>
        <v>79.8</v>
      </c>
      <c r="O7" s="42">
        <f>'Condensed milk'!F7</f>
        <v>81.599999999999994</v>
      </c>
      <c r="P7" s="42">
        <f>'Condensed milk'!G7</f>
        <v>82</v>
      </c>
      <c r="Q7" s="42">
        <f>'Condensed milk'!H7</f>
        <v>82.2</v>
      </c>
      <c r="R7" s="42">
        <f>'Condensed milk'!I7</f>
        <v>82.8</v>
      </c>
      <c r="S7" s="39"/>
      <c r="T7" s="6" t="s">
        <v>145</v>
      </c>
      <c r="U7" s="49">
        <f t="shared" ref="U7:Z8" si="3">M7*C7/100</f>
        <v>5959.7121999999999</v>
      </c>
      <c r="V7" s="49">
        <f t="shared" si="3"/>
        <v>6533.944199999999</v>
      </c>
      <c r="W7" s="49">
        <f t="shared" si="3"/>
        <v>7147.5887999999986</v>
      </c>
      <c r="X7" s="49">
        <f t="shared" si="3"/>
        <v>7398.7779999999993</v>
      </c>
      <c r="Y7" s="49">
        <f t="shared" si="3"/>
        <v>7802.7528000000002</v>
      </c>
      <c r="Z7" s="49">
        <f t="shared" si="3"/>
        <v>8344.9979999999996</v>
      </c>
      <c r="AC7" s="87" t="s">
        <v>145</v>
      </c>
      <c r="AD7" s="94">
        <f>Y19</f>
        <v>0.13374017688158951</v>
      </c>
    </row>
    <row r="8" spans="1:33" x14ac:dyDescent="0.35">
      <c r="A8" s="449"/>
      <c r="B8" s="6" t="s">
        <v>183</v>
      </c>
      <c r="C8" s="71">
        <f>SUM(C15,C9:C10)</f>
        <v>7948.2</v>
      </c>
      <c r="D8" s="71">
        <f>SUM(D15,C9:C10)</f>
        <v>8419.0999999999985</v>
      </c>
      <c r="E8" s="71">
        <f>SUM(E15,D9:D10)</f>
        <v>8444.1</v>
      </c>
      <c r="F8" s="71">
        <f>SUM(F15,E9:E10)</f>
        <v>8581</v>
      </c>
      <c r="G8" s="71">
        <f>SUM(G15,F9:F10)</f>
        <v>9024.2000000000007</v>
      </c>
      <c r="H8" s="71">
        <f>SUM(H15,G9:G10)</f>
        <v>9581.1999999999989</v>
      </c>
      <c r="I8" s="449"/>
      <c r="L8" s="6" t="s">
        <v>183</v>
      </c>
      <c r="M8" s="44">
        <f>SUM(cheese!E8,'butter spreads'!E12,'plant-based dairy'!E8)</f>
        <v>18.2</v>
      </c>
      <c r="N8" s="44">
        <f>SUM(cheese!F8,'butter spreads'!F12,'plant-based dairy'!F8)</f>
        <v>18.399999999999999</v>
      </c>
      <c r="O8" s="44">
        <f>SUM(cheese!G8,'butter spreads'!G12,'plant-based dairy'!G8)</f>
        <v>19.399999999999999</v>
      </c>
      <c r="P8" s="44">
        <f>SUM(cheese!H8,'butter spreads'!H12,'plant-based dairy'!H8)</f>
        <v>19.5</v>
      </c>
      <c r="Q8" s="44">
        <f>SUM(cheese!I8,'butter spreads'!I12,'plant-based dairy'!I8)</f>
        <v>19</v>
      </c>
      <c r="R8" s="44">
        <f>SUM(cheese!J8,'butter spreads'!J12,'plant-based dairy'!J8)</f>
        <v>18.5</v>
      </c>
      <c r="S8" s="39"/>
      <c r="T8" s="6" t="s">
        <v>183</v>
      </c>
      <c r="U8" s="49">
        <f t="shared" si="3"/>
        <v>1446.5724</v>
      </c>
      <c r="V8" s="49">
        <f t="shared" si="3"/>
        <v>1549.1143999999997</v>
      </c>
      <c r="W8" s="49">
        <f t="shared" si="3"/>
        <v>1638.1554000000001</v>
      </c>
      <c r="X8" s="49">
        <f t="shared" si="3"/>
        <v>1673.2950000000001</v>
      </c>
      <c r="Y8" s="49">
        <f t="shared" si="3"/>
        <v>1714.5980000000002</v>
      </c>
      <c r="Z8" s="49">
        <f t="shared" si="3"/>
        <v>1772.5219999999999</v>
      </c>
      <c r="AC8" s="87" t="s">
        <v>183</v>
      </c>
      <c r="AD8" s="94">
        <f>Y20</f>
        <v>2.9388428119986019E-2</v>
      </c>
    </row>
    <row r="9" spans="1:33" x14ac:dyDescent="0.35">
      <c r="A9" s="449" t="s">
        <v>177</v>
      </c>
      <c r="B9" s="89" t="s">
        <v>184</v>
      </c>
      <c r="C9" s="71">
        <f>Sheet2!F10</f>
        <v>778.4</v>
      </c>
      <c r="D9" s="71">
        <f>Sheet2!G10</f>
        <v>863.3</v>
      </c>
      <c r="E9" s="71">
        <f>Sheet2!H10</f>
        <v>932.8</v>
      </c>
      <c r="F9" s="71">
        <f>Sheet2!I10</f>
        <v>979</v>
      </c>
      <c r="G9" s="71">
        <f>Sheet2!J10</f>
        <v>1058.4000000000001</v>
      </c>
      <c r="H9" s="5">
        <v>1153.5999999999999</v>
      </c>
      <c r="I9" s="449" t="s">
        <v>0</v>
      </c>
      <c r="L9" s="45" t="s">
        <v>185</v>
      </c>
      <c r="M9" s="46">
        <f>'Condensed milk'!D7</f>
        <v>79.3</v>
      </c>
      <c r="N9" s="46">
        <f>'Condensed milk'!E7</f>
        <v>79.8</v>
      </c>
      <c r="O9" s="46">
        <f>'Condensed milk'!F7</f>
        <v>81.599999999999994</v>
      </c>
      <c r="P9" s="46">
        <f>'Condensed milk'!G7</f>
        <v>82</v>
      </c>
      <c r="Q9" s="46">
        <f>'Condensed milk'!H7</f>
        <v>82.2</v>
      </c>
      <c r="R9" s="46">
        <f>'Condensed milk'!I7</f>
        <v>82.8</v>
      </c>
      <c r="S9" s="39"/>
      <c r="T9" s="6" t="s">
        <v>186</v>
      </c>
      <c r="U9" s="49">
        <v>0</v>
      </c>
      <c r="V9" s="49"/>
      <c r="W9" s="49"/>
      <c r="X9" s="49"/>
      <c r="Y9" s="49"/>
      <c r="Z9" s="49"/>
      <c r="AC9" s="50"/>
      <c r="AD9" s="49"/>
    </row>
    <row r="10" spans="1:33" x14ac:dyDescent="0.35">
      <c r="A10" s="449" t="s">
        <v>177</v>
      </c>
      <c r="B10" s="9" t="s">
        <v>187</v>
      </c>
      <c r="C10" s="71">
        <f>Sheet2!F11</f>
        <v>1864</v>
      </c>
      <c r="D10" s="71">
        <f>Sheet2!G11</f>
        <v>2084.9</v>
      </c>
      <c r="E10" s="71">
        <f>Sheet2!H11</f>
        <v>2223</v>
      </c>
      <c r="F10" s="71">
        <f>Sheet2!I11</f>
        <v>2342.3000000000002</v>
      </c>
      <c r="G10" s="71">
        <f>Sheet2!J11</f>
        <v>2515.9</v>
      </c>
      <c r="H10" s="5">
        <v>2717.4</v>
      </c>
      <c r="I10" s="449" t="s">
        <v>0</v>
      </c>
      <c r="T10" s="50" t="s">
        <v>185</v>
      </c>
      <c r="U10" s="49">
        <f t="shared" ref="U10:Z10" si="4">M9*C13/100</f>
        <v>10784.482799999998</v>
      </c>
      <c r="V10" s="49">
        <f t="shared" si="4"/>
        <v>11832.664199999997</v>
      </c>
      <c r="W10" s="49">
        <f t="shared" si="4"/>
        <v>12393.407999999998</v>
      </c>
      <c r="X10" s="49">
        <f t="shared" si="4"/>
        <v>12650.222</v>
      </c>
      <c r="Y10" s="49">
        <f t="shared" si="4"/>
        <v>13360.541399999998</v>
      </c>
      <c r="Z10" s="49">
        <f t="shared" si="4"/>
        <v>14273.892</v>
      </c>
    </row>
    <row r="11" spans="1:33" x14ac:dyDescent="0.35">
      <c r="A11" s="450" t="s">
        <v>177</v>
      </c>
      <c r="B11" s="9" t="s">
        <v>180</v>
      </c>
      <c r="C11" s="71">
        <f>Sheet2!F12</f>
        <v>44785.3</v>
      </c>
      <c r="D11" s="71">
        <f>Sheet2!G12</f>
        <v>50034.8</v>
      </c>
      <c r="E11" s="71">
        <f>Sheet2!H12</f>
        <v>54155.6</v>
      </c>
      <c r="F11" s="71">
        <f>Sheet2!I12</f>
        <v>57204.6</v>
      </c>
      <c r="G11" s="71">
        <f>Sheet2!J12</f>
        <v>59274.8</v>
      </c>
      <c r="H11" s="7">
        <v>62505.3</v>
      </c>
      <c r="I11" s="450" t="s">
        <v>0</v>
      </c>
      <c r="T11" s="2" t="s">
        <v>188</v>
      </c>
      <c r="U11" s="75">
        <f t="shared" ref="U11:Z11" si="5">SUM(U4:U8)</f>
        <v>43625.138900000005</v>
      </c>
      <c r="V11" s="75">
        <f t="shared" si="5"/>
        <v>49618.464599999999</v>
      </c>
      <c r="W11" s="75">
        <f t="shared" si="5"/>
        <v>54025.203699999998</v>
      </c>
      <c r="X11" s="75">
        <f t="shared" si="5"/>
        <v>56845.387599999995</v>
      </c>
      <c r="Y11" s="75">
        <f t="shared" si="5"/>
        <v>58342.623600000006</v>
      </c>
      <c r="Z11" s="299">
        <f t="shared" si="5"/>
        <v>61068.305799999995</v>
      </c>
    </row>
    <row r="12" spans="1:33" x14ac:dyDescent="0.35">
      <c r="A12" s="450" t="s">
        <v>177</v>
      </c>
      <c r="B12" s="9" t="s">
        <v>182</v>
      </c>
      <c r="C12" s="71">
        <f>Sheet2!F13</f>
        <v>14821.2</v>
      </c>
      <c r="D12" s="71">
        <f>Sheet2!G13</f>
        <v>17024.2</v>
      </c>
      <c r="E12" s="71">
        <f>Sheet2!H13</f>
        <v>18996.599999999999</v>
      </c>
      <c r="F12" s="71">
        <f>Sheet2!I13</f>
        <v>20640</v>
      </c>
      <c r="G12" s="71">
        <f>Sheet2!J13</f>
        <v>22371.3</v>
      </c>
      <c r="H12" s="7">
        <v>24279.4</v>
      </c>
      <c r="I12" s="450" t="s">
        <v>0</v>
      </c>
      <c r="U12" s="75"/>
      <c r="V12" s="75" t="s">
        <v>189</v>
      </c>
      <c r="W12" s="75"/>
      <c r="X12" s="75"/>
      <c r="Y12" s="75"/>
      <c r="Z12" s="75"/>
      <c r="AA12" s="2" t="s">
        <v>190</v>
      </c>
      <c r="AB12" s="2" t="str">
        <f>U11&amp;":"&amp;TEXT(U13,"0.0")</f>
        <v>43625.1389:0.0</v>
      </c>
      <c r="AC12" s="2">
        <v>7</v>
      </c>
      <c r="AD12" s="2">
        <v>7</v>
      </c>
      <c r="AE12" s="2">
        <v>7</v>
      </c>
      <c r="AF12" s="2">
        <v>6</v>
      </c>
      <c r="AG12" s="2">
        <v>8</v>
      </c>
    </row>
    <row r="13" spans="1:33" x14ac:dyDescent="0.35">
      <c r="A13" s="449" t="s">
        <v>177</v>
      </c>
      <c r="B13" s="9" t="s">
        <v>191</v>
      </c>
      <c r="C13" s="71">
        <f t="shared" ref="C13:H13" si="6">SUM(C9,C14,C15)</f>
        <v>13599.599999999999</v>
      </c>
      <c r="D13" s="71">
        <f t="shared" si="6"/>
        <v>14827.899999999998</v>
      </c>
      <c r="E13" s="71">
        <f t="shared" si="6"/>
        <v>15187.999999999998</v>
      </c>
      <c r="F13" s="71">
        <f t="shared" si="6"/>
        <v>15427.099999999999</v>
      </c>
      <c r="G13" s="71">
        <f t="shared" si="6"/>
        <v>16253.699999999999</v>
      </c>
      <c r="H13" s="71">
        <f t="shared" si="6"/>
        <v>17239</v>
      </c>
      <c r="I13" s="450"/>
      <c r="T13" s="2" t="s">
        <v>192</v>
      </c>
      <c r="U13" s="76">
        <f>_xlfn.RRI(2,W11,Y11)</f>
        <v>3.9189550209582702E-2</v>
      </c>
      <c r="V13" s="2" t="s">
        <v>193</v>
      </c>
      <c r="W13" s="97">
        <v>0.15</v>
      </c>
      <c r="X13" s="2">
        <v>1</v>
      </c>
      <c r="Y13" s="11">
        <f>U11+W14</f>
        <v>52376.53244000001</v>
      </c>
      <c r="Z13" s="2" t="s">
        <v>194</v>
      </c>
      <c r="AA13" s="11">
        <f>AVERAGE(Y13:Y14)</f>
        <v>59735.27479000001</v>
      </c>
    </row>
    <row r="14" spans="1:33" x14ac:dyDescent="0.35">
      <c r="A14" s="449" t="s">
        <v>177</v>
      </c>
      <c r="B14" s="89" t="s">
        <v>195</v>
      </c>
      <c r="C14" s="71">
        <f>Sheet2!F14</f>
        <v>7515.4</v>
      </c>
      <c r="D14" s="71">
        <f>Sheet2!G14</f>
        <v>8187.9</v>
      </c>
      <c r="E14" s="71">
        <f>Sheet2!H14</f>
        <v>8759.2999999999993</v>
      </c>
      <c r="F14" s="71">
        <f>Sheet2!I14</f>
        <v>9022.9</v>
      </c>
      <c r="G14" s="71">
        <f>Sheet2!J14</f>
        <v>9492.4</v>
      </c>
      <c r="H14" s="5">
        <v>10078.5</v>
      </c>
      <c r="I14" s="449" t="s">
        <v>0</v>
      </c>
      <c r="T14" s="2" t="s">
        <v>196</v>
      </c>
      <c r="U14" s="76">
        <f>U13/5</f>
        <v>7.8379100419165397E-3</v>
      </c>
      <c r="V14" s="2" t="s">
        <v>193</v>
      </c>
      <c r="W14" s="2">
        <f>MAX(U11:Y11)*W13</f>
        <v>8751.3935400000009</v>
      </c>
      <c r="X14" s="2">
        <v>4</v>
      </c>
      <c r="Y14" s="11">
        <f>Y11+W14</f>
        <v>67094.017140000011</v>
      </c>
      <c r="Z14" s="11">
        <v>2.5</v>
      </c>
    </row>
    <row r="15" spans="1:33" x14ac:dyDescent="0.35">
      <c r="A15" s="449" t="s">
        <v>177</v>
      </c>
      <c r="B15" s="88" t="s">
        <v>197</v>
      </c>
      <c r="C15" s="71">
        <f>Sheet2!F15</f>
        <v>5305.8</v>
      </c>
      <c r="D15" s="71">
        <f>Sheet2!G15</f>
        <v>5776.7</v>
      </c>
      <c r="E15" s="71">
        <f>Sheet2!H15</f>
        <v>5495.9</v>
      </c>
      <c r="F15" s="71">
        <f>Sheet2!I15</f>
        <v>5425.2</v>
      </c>
      <c r="G15" s="71">
        <f>Sheet2!J15</f>
        <v>5702.9</v>
      </c>
      <c r="H15" s="5">
        <v>6006.9</v>
      </c>
      <c r="I15" s="449" t="s">
        <v>0</v>
      </c>
      <c r="T15" s="91"/>
      <c r="U15" s="91">
        <v>2018</v>
      </c>
      <c r="V15" s="91">
        <v>2019</v>
      </c>
      <c r="W15" s="91">
        <v>2020</v>
      </c>
      <c r="X15" s="91">
        <v>2021</v>
      </c>
      <c r="Y15" s="91">
        <v>2022</v>
      </c>
      <c r="Z15" s="91">
        <v>2023</v>
      </c>
    </row>
    <row r="16" spans="1:33" x14ac:dyDescent="0.35">
      <c r="A16" s="449" t="s">
        <v>177</v>
      </c>
      <c r="B16" s="10" t="s">
        <v>198</v>
      </c>
      <c r="C16" s="71">
        <f>Sheet2!F16</f>
        <v>5305.8</v>
      </c>
      <c r="D16" s="71">
        <f>Sheet2!G16</f>
        <v>5776.7</v>
      </c>
      <c r="E16" s="71">
        <f>Sheet2!H16</f>
        <v>5495.9</v>
      </c>
      <c r="F16" s="71">
        <f>Sheet2!I16</f>
        <v>5425.2</v>
      </c>
      <c r="G16" s="71">
        <f>Sheet2!J16</f>
        <v>5702.9</v>
      </c>
      <c r="H16" s="5">
        <v>6006.9</v>
      </c>
      <c r="I16" s="449" t="s">
        <v>0</v>
      </c>
      <c r="M16" s="2">
        <v>2018</v>
      </c>
      <c r="N16" s="2">
        <v>2019</v>
      </c>
      <c r="O16" s="2">
        <v>2020</v>
      </c>
      <c r="P16" s="2">
        <v>2021</v>
      </c>
      <c r="Q16" s="2">
        <v>2022</v>
      </c>
      <c r="T16" s="87" t="s">
        <v>179</v>
      </c>
      <c r="U16" s="451">
        <f>U4/$U$11</f>
        <v>0.13823570427646248</v>
      </c>
      <c r="V16" s="451">
        <f>V4/$V$11</f>
        <v>0.12662080640036572</v>
      </c>
      <c r="W16" s="451">
        <f>W4/$W$11</f>
        <v>0.12184205609945714</v>
      </c>
      <c r="X16" s="451">
        <f>X4/$X$11</f>
        <v>0.12055703178985804</v>
      </c>
      <c r="Y16" s="451">
        <f>Y4/$Y$11</f>
        <v>0.12463346266107922</v>
      </c>
      <c r="Z16" s="451">
        <f>Z4/$Z$11</f>
        <v>0.12729657877622011</v>
      </c>
    </row>
    <row r="17" spans="1:26" x14ac:dyDescent="0.35">
      <c r="A17" s="449" t="s">
        <v>177</v>
      </c>
      <c r="B17" s="12" t="s">
        <v>199</v>
      </c>
      <c r="C17" s="71">
        <f>Sheet2!F17</f>
        <v>5149.8</v>
      </c>
      <c r="D17" s="71">
        <f>Sheet2!G17</f>
        <v>5606.7</v>
      </c>
      <c r="E17" s="71">
        <f>Sheet2!H17</f>
        <v>5313.2</v>
      </c>
      <c r="F17" s="71">
        <f>Sheet2!I17</f>
        <v>5235.1000000000004</v>
      </c>
      <c r="G17" s="71">
        <f>Sheet2!J17</f>
        <v>5500</v>
      </c>
      <c r="H17" s="5">
        <v>5787.1</v>
      </c>
      <c r="I17" s="449" t="s">
        <v>0</v>
      </c>
      <c r="L17" s="2" t="s">
        <v>179</v>
      </c>
      <c r="M17" s="300">
        <f>U16*'BS IS'!$J$22*Domes!$H$7/1000</f>
        <v>6720.9928131646411</v>
      </c>
      <c r="N17" s="300">
        <f>V16*'BS IS'!$K$22*Domes!$I$7/1000</f>
        <v>6560.5624572777851</v>
      </c>
      <c r="O17" s="300">
        <f>W16*'BS IS'!$L$22*Domes!$J$7/1000</f>
        <v>6721.2421265471248</v>
      </c>
      <c r="P17" s="300">
        <f>X16*'BS IS'!$M$22*Domes!$K$7/1000</f>
        <v>6756.6950145952778</v>
      </c>
      <c r="Q17" s="300">
        <f>Y16*'BS IS'!$N$22*Domes!$L$7/1000</f>
        <v>6912.1130713899711</v>
      </c>
      <c r="R17" s="300"/>
      <c r="T17" s="87" t="s">
        <v>180</v>
      </c>
      <c r="U17" s="451">
        <f>U5/$U$11</f>
        <v>0.46504702131733494</v>
      </c>
      <c r="V17" s="451">
        <f>V5/$V$11</f>
        <v>0.48402755292028937</v>
      </c>
      <c r="W17" s="451">
        <f>W5/$W$11</f>
        <v>0.48416577835133645</v>
      </c>
      <c r="X17" s="451">
        <f>X5/$X$11</f>
        <v>0.48202685489297287</v>
      </c>
      <c r="Y17" s="451">
        <f>Y5/$Y$11</f>
        <v>0.46836568384970606</v>
      </c>
      <c r="Z17" s="451">
        <f>Z5/$Z$11</f>
        <v>0.45854185789447599</v>
      </c>
    </row>
    <row r="18" spans="1:26" x14ac:dyDescent="0.35">
      <c r="A18" s="449" t="s">
        <v>177</v>
      </c>
      <c r="B18" s="12" t="s">
        <v>200</v>
      </c>
      <c r="C18" s="71">
        <f>Sheet2!F18</f>
        <v>156</v>
      </c>
      <c r="D18" s="71">
        <f>Sheet2!G18</f>
        <v>170</v>
      </c>
      <c r="E18" s="71">
        <f>Sheet2!H18</f>
        <v>182.8</v>
      </c>
      <c r="F18" s="71">
        <f>Sheet2!I18</f>
        <v>190.1</v>
      </c>
      <c r="G18" s="71">
        <f>Sheet2!J18</f>
        <v>202.9</v>
      </c>
      <c r="H18" s="5">
        <v>219.8</v>
      </c>
      <c r="I18" s="449" t="s">
        <v>0</v>
      </c>
      <c r="L18" s="2" t="s">
        <v>180</v>
      </c>
      <c r="M18" s="300">
        <f>U17*'BS IS'!$J$22*Domes!$H$7/1000</f>
        <v>22610.49491097089</v>
      </c>
      <c r="N18" s="300">
        <f>V17*'BS IS'!$K$22*Domes!$I$7/1000</f>
        <v>25078.761399893556</v>
      </c>
      <c r="O18" s="300">
        <f>W17*'BS IS'!$L$22*Domes!$J$7/1000</f>
        <v>26708.310166984938</v>
      </c>
      <c r="P18" s="300">
        <f>X17*'BS IS'!$M$22*Domes!$K$7/1000</f>
        <v>27015.499627043584</v>
      </c>
      <c r="Q18" s="300">
        <f>Y17*'BS IS'!$N$22*Domes!$L$7/1000</f>
        <v>25975.339980175617</v>
      </c>
      <c r="T18" s="87" t="s">
        <v>182</v>
      </c>
      <c r="U18" s="451">
        <f>U6/$U$11</f>
        <v>0.22694624818718914</v>
      </c>
      <c r="V18" s="451">
        <f>V6/$V$11</f>
        <v>0.22644739394052107</v>
      </c>
      <c r="W18" s="451">
        <f>W6/$W$11</f>
        <v>0.23136910078878609</v>
      </c>
      <c r="X18" s="451">
        <f>X6/$X$11</f>
        <v>0.23782404467235971</v>
      </c>
      <c r="Y18" s="451">
        <f>Y6/$Y$11</f>
        <v>0.24387224848763911</v>
      </c>
      <c r="Z18" s="451">
        <f>Z6/$Z$11</f>
        <v>0.24848609767720134</v>
      </c>
    </row>
    <row r="19" spans="1:26" x14ac:dyDescent="0.35">
      <c r="A19" s="449" t="s">
        <v>177</v>
      </c>
      <c r="B19" s="10" t="s">
        <v>201</v>
      </c>
      <c r="C19" s="71" t="str">
        <f>Sheet2!F19</f>
        <v>-</v>
      </c>
      <c r="D19" s="71" t="str">
        <f>Sheet2!G19</f>
        <v>-</v>
      </c>
      <c r="E19" s="71" t="str">
        <f>Sheet2!H19</f>
        <v>-</v>
      </c>
      <c r="F19" s="71" t="str">
        <f>Sheet2!I19</f>
        <v>-</v>
      </c>
      <c r="G19" s="71" t="str">
        <f>Sheet2!J19</f>
        <v>-</v>
      </c>
      <c r="H19" s="13" t="s">
        <v>202</v>
      </c>
      <c r="I19" s="449" t="s">
        <v>0</v>
      </c>
      <c r="L19" s="2" t="s">
        <v>182</v>
      </c>
      <c r="M19" s="300">
        <f>U18*'BS IS'!$J$22*Domes!$H$7/1000</f>
        <v>11034.082048659928</v>
      </c>
      <c r="N19" s="300">
        <f>V18*'BS IS'!$K$22*Domes!$I$7/1000</f>
        <v>11732.844810173981</v>
      </c>
      <c r="O19" s="300">
        <f>W18*'BS IS'!$L$22*Domes!$J$7/1000</f>
        <v>12763.144326237656</v>
      </c>
      <c r="P19" s="300">
        <f>X18*'BS IS'!$M$22*Domes!$K$7/1000</f>
        <v>13328.998840893822</v>
      </c>
      <c r="Q19" s="300">
        <f>Y18*'BS IS'!$N$22*Domes!$L$7/1000</f>
        <v>13525.039909262496</v>
      </c>
      <c r="T19" s="87" t="s">
        <v>145</v>
      </c>
      <c r="U19" s="451">
        <f>U7/$U$11</f>
        <v>0.13661187907415462</v>
      </c>
      <c r="V19" s="451">
        <f>V7/$V$11</f>
        <v>0.13168372404655179</v>
      </c>
      <c r="W19" s="451">
        <f>W7/$W$11</f>
        <v>0.13230100602101014</v>
      </c>
      <c r="X19" s="451">
        <f>X7/$X$11</f>
        <v>0.13015617119303449</v>
      </c>
      <c r="Y19" s="451">
        <f>Y7/$Y$11</f>
        <v>0.13374017688158951</v>
      </c>
      <c r="Z19" s="451">
        <f>Z7/$Z$11</f>
        <v>0.136650229455031</v>
      </c>
    </row>
    <row r="20" spans="1:26" x14ac:dyDescent="0.35">
      <c r="B20" s="10" t="s">
        <v>203</v>
      </c>
      <c r="C20" s="71" t="str">
        <f>Sheet2!F20</f>
        <v>-</v>
      </c>
      <c r="D20" s="71" t="str">
        <f>Sheet2!G20</f>
        <v>-</v>
      </c>
      <c r="E20" s="71" t="str">
        <f>Sheet2!H20</f>
        <v>-</v>
      </c>
      <c r="F20" s="71" t="str">
        <f>Sheet2!I20</f>
        <v>-</v>
      </c>
      <c r="G20" s="71" t="str">
        <f>Sheet2!J20</f>
        <v>-</v>
      </c>
      <c r="H20" s="13" t="s">
        <v>202</v>
      </c>
      <c r="I20" s="449" t="s">
        <v>0</v>
      </c>
      <c r="L20" s="2" t="s">
        <v>145</v>
      </c>
      <c r="M20" s="300">
        <f>U19*'BS IS'!$J$22*Domes!$H$7/1000</f>
        <v>6642.0427505041298</v>
      </c>
      <c r="N20" s="300">
        <f>V19*'BS IS'!$K$22*Domes!$I$7/1000</f>
        <v>6822.8857545156197</v>
      </c>
      <c r="O20" s="300">
        <f>W19*'BS IS'!$L$22*Domes!$J$7/1000</f>
        <v>7298.1950856699314</v>
      </c>
      <c r="P20" s="300">
        <f>X19*'BS IS'!$M$22*Domes!$K$7/1000</f>
        <v>7294.6848471825779</v>
      </c>
      <c r="Q20" s="300">
        <f>Y19*'BS IS'!$N$22*Domes!$L$7/1000</f>
        <v>7417.1671480160494</v>
      </c>
      <c r="T20" s="87" t="s">
        <v>183</v>
      </c>
      <c r="U20" s="451">
        <f>U8/$U$11</f>
        <v>3.3159147144858715E-2</v>
      </c>
      <c r="V20" s="451">
        <f>V8/$V$11</f>
        <v>3.1220522692272098E-2</v>
      </c>
      <c r="W20" s="451">
        <f>W8/$W$11</f>
        <v>3.0322058739410178E-2</v>
      </c>
      <c r="X20" s="451">
        <f>X8/$X$11</f>
        <v>2.9435897451774967E-2</v>
      </c>
      <c r="Y20" s="451">
        <f>Y8/$Y$11</f>
        <v>2.9388428119986019E-2</v>
      </c>
      <c r="Z20" s="451">
        <f>Z8/$Z$11</f>
        <v>2.9025236197071643E-2</v>
      </c>
    </row>
    <row r="21" spans="1:26" x14ac:dyDescent="0.35">
      <c r="A21" s="2">
        <v>781213</v>
      </c>
      <c r="B21" s="2">
        <v>789101213</v>
      </c>
      <c r="C21" s="90">
        <f>SUM(C5,C9:C12,C14,C15)</f>
        <v>108205</v>
      </c>
      <c r="D21" s="90">
        <f>C21-C14-C15-C9</f>
        <v>94605.400000000009</v>
      </c>
      <c r="H21" s="11">
        <f>SUM(H4:H20)</f>
        <v>430144.30000000005</v>
      </c>
      <c r="L21" s="2" t="s">
        <v>183</v>
      </c>
      <c r="M21" s="300">
        <f>U20*'BS IS'!$J$22*Domes!$H$7/1000</f>
        <v>1612.1912267004036</v>
      </c>
      <c r="N21" s="300">
        <f>V20*'BS IS'!$K$22*Domes!$I$7/1000</f>
        <v>1617.6187381390573</v>
      </c>
      <c r="O21" s="300">
        <f>W20*'BS IS'!$L$22*Domes!$J$7/1000</f>
        <v>1672.6728445603449</v>
      </c>
      <c r="P21" s="300">
        <f>X20*'BS IS'!$M$22*Domes!$K$7/1000</f>
        <v>1649.7534702847379</v>
      </c>
      <c r="Q21" s="300">
        <f>Y20*'BS IS'!$N$22*Domes!$L$7/1000</f>
        <v>1629.8683661558553</v>
      </c>
      <c r="T21" s="92" t="s">
        <v>185</v>
      </c>
      <c r="U21" s="77">
        <f>U10/$U$11</f>
        <v>0.24720798768620073</v>
      </c>
      <c r="V21" s="77">
        <f>V10/$V$11</f>
        <v>0.23847300184294695</v>
      </c>
      <c r="W21" s="77">
        <f>W10/$W$11</f>
        <v>0.2294004862771114</v>
      </c>
      <c r="X21" s="77">
        <f>X10/$X$11</f>
        <v>0.22253735147370163</v>
      </c>
      <c r="Y21" s="77">
        <f>Y10/$Y$11</f>
        <v>0.22900138141884996</v>
      </c>
      <c r="Z21" s="77">
        <f>Z10/$Z$11</f>
        <v>0.23373649904006344</v>
      </c>
    </row>
    <row r="22" spans="1:26" x14ac:dyDescent="0.35">
      <c r="A22" s="2">
        <v>11</v>
      </c>
      <c r="B22" s="2">
        <v>91011</v>
      </c>
      <c r="C22" s="90">
        <f>SUM(C5,C10:C13)</f>
        <v>108205</v>
      </c>
      <c r="D22" s="90">
        <f>SUM(C14,C15,C9)</f>
        <v>13599.6</v>
      </c>
      <c r="L22" s="2" t="s">
        <v>204</v>
      </c>
      <c r="M22" s="302">
        <f>'BS IS'!J22/1000-SUM(M17:M21)</f>
        <v>3942.1462500000052</v>
      </c>
      <c r="N22" s="302">
        <f>'BS IS'!K22/1000-SUM(N17:N21)</f>
        <v>4505.4498400000011</v>
      </c>
      <c r="O22" s="302">
        <f>'BS IS'!L22/1000-SUM(O17:O21)</f>
        <v>4472.7214500000046</v>
      </c>
      <c r="P22" s="302">
        <f>'BS IS'!M22/1000-SUM(P17:P21)</f>
        <v>4873.533199999998</v>
      </c>
      <c r="Q22" s="302">
        <f>'BS IS'!N22/1000-SUM(Q17:Q21)</f>
        <v>4496.7185250000184</v>
      </c>
      <c r="R22" s="302"/>
      <c r="T22" s="48" t="s">
        <v>187</v>
      </c>
      <c r="U22" s="77">
        <f>U8/$U$11</f>
        <v>3.3159147144858715E-2</v>
      </c>
      <c r="V22" s="76">
        <f>V8/$V$11</f>
        <v>3.1220522692272098E-2</v>
      </c>
      <c r="W22" s="76">
        <f>W8/$W$11</f>
        <v>3.0322058739410178E-2</v>
      </c>
      <c r="X22" s="76">
        <f>X8/$X$11</f>
        <v>2.9435897451774967E-2</v>
      </c>
      <c r="Y22" s="76">
        <f>Y8/$Y$11</f>
        <v>2.9388428119986019E-2</v>
      </c>
      <c r="Z22" s="76">
        <f>Z8/$Z$11</f>
        <v>2.9025236197071643E-2</v>
      </c>
    </row>
    <row r="23" spans="1:26" x14ac:dyDescent="0.35">
      <c r="E23" s="86">
        <f>AVERAGE(C25,U13)</f>
        <v>4.5940397785287579E-2</v>
      </c>
      <c r="T23" s="50" t="s">
        <v>185</v>
      </c>
      <c r="U23" s="77">
        <f>U11/$U$11</f>
        <v>1</v>
      </c>
      <c r="V23" s="76">
        <f>V10/$V$11</f>
        <v>0.23847300184294695</v>
      </c>
      <c r="W23" s="76">
        <f>W10/$W$11</f>
        <v>0.2294004862771114</v>
      </c>
      <c r="X23" s="76">
        <f>X10/$X$11</f>
        <v>0.22253735147370163</v>
      </c>
      <c r="Y23" s="76">
        <f>Y10/$Y$11</f>
        <v>0.22900138141884996</v>
      </c>
    </row>
    <row r="24" spans="1:26" x14ac:dyDescent="0.35">
      <c r="B24" s="90">
        <f>SUM(C5,C7:C8,C11:C12)</f>
        <v>108205</v>
      </c>
      <c r="C24" s="90">
        <f>SUM(C5:C13)</f>
        <v>194211.30000000002</v>
      </c>
      <c r="D24" s="437">
        <f>2.17%/C25</f>
        <v>0.41183312049907628</v>
      </c>
    </row>
    <row r="25" spans="1:26" x14ac:dyDescent="0.35">
      <c r="C25" s="76">
        <f>_xlfn.RRI(4,C4,G4)</f>
        <v>5.2691245360992456E-2</v>
      </c>
    </row>
    <row r="29" spans="1:26" x14ac:dyDescent="0.35">
      <c r="U29" s="86">
        <f t="shared" ref="U29:Z29" si="7">SUM(U16:U20)</f>
        <v>0.99999999999999978</v>
      </c>
      <c r="V29" s="86">
        <f t="shared" si="7"/>
        <v>1</v>
      </c>
      <c r="W29" s="86">
        <f t="shared" si="7"/>
        <v>1</v>
      </c>
      <c r="X29" s="86">
        <f t="shared" si="7"/>
        <v>1</v>
      </c>
      <c r="Y29" s="86">
        <f t="shared" si="7"/>
        <v>0.99999999999999989</v>
      </c>
      <c r="Z29" s="86">
        <f t="shared" si="7"/>
        <v>1</v>
      </c>
    </row>
    <row r="37" spans="1:17" x14ac:dyDescent="0.35">
      <c r="M37" s="2">
        <v>2018</v>
      </c>
      <c r="N37" s="2">
        <v>2019</v>
      </c>
      <c r="O37" s="2">
        <v>2020</v>
      </c>
      <c r="P37" s="2">
        <v>2021</v>
      </c>
      <c r="Q37" s="2">
        <v>2022</v>
      </c>
    </row>
    <row r="38" spans="1:17" x14ac:dyDescent="0.35">
      <c r="L38" s="2" t="s">
        <v>177</v>
      </c>
      <c r="M38" s="2">
        <v>108205.1</v>
      </c>
      <c r="N38" s="2">
        <v>117038.9</v>
      </c>
      <c r="O38" s="2">
        <v>123641.3</v>
      </c>
      <c r="P38" s="2">
        <v>128093.1</v>
      </c>
      <c r="Q38" s="2">
        <v>132877.6</v>
      </c>
    </row>
    <row r="39" spans="1:17" x14ac:dyDescent="0.35">
      <c r="L39" s="2" t="s">
        <v>205</v>
      </c>
      <c r="M39" s="90">
        <f>SUM(M17:M22)</f>
        <v>52561.95</v>
      </c>
      <c r="N39" s="90">
        <f>SUM(N17:N22)</f>
        <v>56318.123</v>
      </c>
      <c r="O39" s="90">
        <f>SUM(O17:O22)</f>
        <v>59636.286</v>
      </c>
      <c r="P39" s="90">
        <f>SUM(P17:P22)</f>
        <v>60919.165000000001</v>
      </c>
      <c r="Q39" s="90">
        <f>SUM(Q17:Q22)</f>
        <v>59956.247000000003</v>
      </c>
    </row>
    <row r="44" spans="1:17" x14ac:dyDescent="0.35">
      <c r="A44" s="99" t="s">
        <v>206</v>
      </c>
      <c r="B44"/>
      <c r="C44"/>
      <c r="D44"/>
      <c r="E44"/>
      <c r="F44"/>
      <c r="G44"/>
      <c r="M44" s="2">
        <f>SLOPE(M39:Q39,M38:Q38)</f>
        <v>0.33533205643638936</v>
      </c>
    </row>
    <row r="46" spans="1:17" x14ac:dyDescent="0.35">
      <c r="A46" s="100" t="s">
        <v>207</v>
      </c>
      <c r="B46"/>
      <c r="C46"/>
      <c r="D46"/>
      <c r="E46"/>
      <c r="F46"/>
      <c r="G46"/>
    </row>
    <row r="47" spans="1:17" ht="15" thickBot="1" x14ac:dyDescent="0.4">
      <c r="A47" s="100" t="s">
        <v>208</v>
      </c>
      <c r="B47"/>
      <c r="C47"/>
      <c r="D47"/>
      <c r="E47"/>
      <c r="F47"/>
      <c r="G47"/>
    </row>
    <row r="48" spans="1:17" ht="15" thickBot="1" x14ac:dyDescent="0.35">
      <c r="A48" s="475"/>
      <c r="B48" s="476"/>
      <c r="C48" s="102">
        <v>2020</v>
      </c>
      <c r="D48" s="102">
        <v>2021</v>
      </c>
      <c r="E48" s="102">
        <v>2022</v>
      </c>
    </row>
    <row r="49" spans="1:23" ht="15" thickBot="1" x14ac:dyDescent="0.35">
      <c r="A49" s="145"/>
      <c r="B49" s="160" t="s">
        <v>209</v>
      </c>
      <c r="C49" s="145" t="s">
        <v>210</v>
      </c>
      <c r="D49" s="145" t="s">
        <v>211</v>
      </c>
      <c r="E49" s="145" t="s">
        <v>212</v>
      </c>
      <c r="H49" s="2">
        <v>2020</v>
      </c>
      <c r="I49" s="2">
        <v>2021</v>
      </c>
      <c r="J49" s="2">
        <v>2022</v>
      </c>
    </row>
    <row r="50" spans="1:23" ht="15" thickBot="1" x14ac:dyDescent="0.4">
      <c r="A50" s="473" t="s">
        <v>213</v>
      </c>
      <c r="B50" s="474"/>
      <c r="C50" s="161">
        <v>0.85</v>
      </c>
      <c r="D50" s="161">
        <v>0.84</v>
      </c>
      <c r="E50" s="161">
        <v>0.85</v>
      </c>
      <c r="G50" s="2" t="s">
        <v>214</v>
      </c>
      <c r="H50" s="161">
        <v>0.85</v>
      </c>
      <c r="I50" s="161">
        <v>0.84</v>
      </c>
      <c r="J50" s="161">
        <v>0.85</v>
      </c>
      <c r="L50" t="s">
        <v>215</v>
      </c>
      <c r="M50"/>
      <c r="N50"/>
      <c r="O50"/>
      <c r="P50"/>
      <c r="Q50"/>
      <c r="R50"/>
      <c r="S50"/>
      <c r="T50"/>
      <c r="U50" s="2">
        <v>123641.3</v>
      </c>
      <c r="V50" s="2">
        <v>128093.1</v>
      </c>
      <c r="W50" s="2">
        <v>132877.6</v>
      </c>
    </row>
    <row r="51" spans="1:23" ht="15" thickBot="1" x14ac:dyDescent="0.4">
      <c r="A51" s="471" t="s">
        <v>216</v>
      </c>
      <c r="B51" s="472"/>
      <c r="C51" s="162">
        <v>50841840</v>
      </c>
      <c r="D51" s="162">
        <v>51202029</v>
      </c>
      <c r="E51" s="162">
        <v>50704403</v>
      </c>
      <c r="G51" s="2" t="s">
        <v>204</v>
      </c>
      <c r="H51" s="161">
        <v>0.15</v>
      </c>
      <c r="I51" s="161">
        <v>0.16</v>
      </c>
      <c r="J51" s="161">
        <v>0.15</v>
      </c>
      <c r="L51"/>
      <c r="M51"/>
      <c r="N51"/>
      <c r="O51"/>
      <c r="P51"/>
      <c r="Q51"/>
      <c r="R51"/>
      <c r="S51"/>
      <c r="T51"/>
      <c r="U51" s="2">
        <v>59636.286</v>
      </c>
      <c r="V51" s="2">
        <v>60919.165000000001</v>
      </c>
      <c r="W51" s="2">
        <v>59956.247000000003</v>
      </c>
    </row>
    <row r="52" spans="1:23" ht="15" thickBot="1" x14ac:dyDescent="0.4">
      <c r="A52" s="471" t="s">
        <v>217</v>
      </c>
      <c r="B52" s="472"/>
      <c r="C52" s="162">
        <v>50841840</v>
      </c>
      <c r="D52" s="162">
        <v>51202029</v>
      </c>
      <c r="E52" s="162">
        <v>50704403</v>
      </c>
      <c r="L52" s="452" t="s">
        <v>218</v>
      </c>
      <c r="M52" s="452"/>
      <c r="N52"/>
      <c r="O52"/>
      <c r="P52"/>
      <c r="Q52"/>
      <c r="R52"/>
      <c r="S52"/>
      <c r="T52"/>
    </row>
    <row r="53" spans="1:23" ht="15" thickBot="1" x14ac:dyDescent="0.4">
      <c r="A53" s="471" t="s">
        <v>219</v>
      </c>
      <c r="B53" s="472"/>
      <c r="C53" s="162">
        <v>27342508</v>
      </c>
      <c r="D53" s="162">
        <v>29154535</v>
      </c>
      <c r="E53" s="162">
        <v>30148859</v>
      </c>
      <c r="L53" t="s">
        <v>220</v>
      </c>
      <c r="M53">
        <v>0.94120608899985403</v>
      </c>
      <c r="N53"/>
      <c r="O53"/>
      <c r="P53"/>
      <c r="Q53"/>
      <c r="R53"/>
      <c r="S53"/>
      <c r="T53"/>
    </row>
    <row r="54" spans="1:23" ht="15" thickBot="1" x14ac:dyDescent="0.4">
      <c r="A54" s="471" t="s">
        <v>221</v>
      </c>
      <c r="B54" s="472"/>
      <c r="C54" s="162">
        <v>23499332</v>
      </c>
      <c r="D54" s="162">
        <v>22047494</v>
      </c>
      <c r="E54" s="162">
        <v>20555545</v>
      </c>
      <c r="L54" t="s">
        <v>222</v>
      </c>
      <c r="M54">
        <v>0.88586890197040113</v>
      </c>
      <c r="N54"/>
      <c r="O54"/>
      <c r="P54"/>
      <c r="Q54"/>
      <c r="R54"/>
      <c r="S54"/>
      <c r="T54"/>
    </row>
    <row r="55" spans="1:23" ht="15" thickBot="1" x14ac:dyDescent="0.4">
      <c r="A55" s="471" t="s">
        <v>223</v>
      </c>
      <c r="B55" s="472"/>
      <c r="C55" s="163">
        <v>0.4622</v>
      </c>
      <c r="D55" s="163">
        <v>0.43059999999999998</v>
      </c>
      <c r="E55" s="163">
        <v>0.40539999999999998</v>
      </c>
      <c r="L55" t="s">
        <v>224</v>
      </c>
      <c r="M55">
        <v>0.84782520262720151</v>
      </c>
      <c r="N55"/>
      <c r="O55"/>
      <c r="P55"/>
      <c r="Q55"/>
      <c r="R55"/>
      <c r="S55"/>
      <c r="T55"/>
    </row>
    <row r="56" spans="1:23" ht="15" thickBot="1" x14ac:dyDescent="0.4">
      <c r="A56" s="473" t="s">
        <v>225</v>
      </c>
      <c r="B56" s="474"/>
      <c r="C56" s="161">
        <v>0.15</v>
      </c>
      <c r="D56" s="161">
        <v>0.16</v>
      </c>
      <c r="E56" s="161">
        <v>0.15</v>
      </c>
      <c r="L56" t="s">
        <v>226</v>
      </c>
      <c r="M56">
        <v>1342.1930111053034</v>
      </c>
      <c r="N56"/>
      <c r="O56"/>
      <c r="P56"/>
      <c r="Q56"/>
      <c r="R56"/>
      <c r="S56"/>
      <c r="T56"/>
    </row>
    <row r="57" spans="1:23" ht="15" thickBot="1" x14ac:dyDescent="0.4">
      <c r="A57" s="471" t="s">
        <v>216</v>
      </c>
      <c r="B57" s="472"/>
      <c r="C57" s="162">
        <v>8794446</v>
      </c>
      <c r="D57" s="162">
        <v>9717135</v>
      </c>
      <c r="E57" s="162">
        <v>9251844</v>
      </c>
      <c r="L57" s="433" t="s">
        <v>227</v>
      </c>
      <c r="M57" s="433">
        <v>5</v>
      </c>
      <c r="N57"/>
      <c r="O57"/>
      <c r="P57"/>
      <c r="Q57"/>
      <c r="R57"/>
      <c r="S57"/>
      <c r="T57"/>
    </row>
    <row r="58" spans="1:23" ht="15" thickBot="1" x14ac:dyDescent="0.4">
      <c r="A58" s="471" t="s">
        <v>217</v>
      </c>
      <c r="B58" s="472"/>
      <c r="C58" s="162">
        <v>8794446</v>
      </c>
      <c r="D58" s="162">
        <v>9717135</v>
      </c>
      <c r="E58" s="162">
        <v>9251844</v>
      </c>
      <c r="L58"/>
      <c r="M58"/>
      <c r="N58"/>
      <c r="O58"/>
      <c r="P58"/>
      <c r="Q58"/>
      <c r="R58"/>
      <c r="S58"/>
      <c r="T58"/>
    </row>
    <row r="59" spans="1:23" ht="15" thickBot="1" x14ac:dyDescent="0.4">
      <c r="A59" s="471" t="s">
        <v>219</v>
      </c>
      <c r="B59" s="472"/>
      <c r="C59" s="162">
        <v>4625155</v>
      </c>
      <c r="D59" s="162">
        <v>5486328</v>
      </c>
      <c r="E59" s="162">
        <v>5910157</v>
      </c>
      <c r="L59" t="s">
        <v>228</v>
      </c>
      <c r="M59"/>
      <c r="N59"/>
      <c r="O59"/>
      <c r="P59"/>
      <c r="Q59"/>
      <c r="R59"/>
      <c r="S59"/>
      <c r="T59"/>
    </row>
    <row r="60" spans="1:23" ht="15" thickBot="1" x14ac:dyDescent="0.4">
      <c r="A60" s="471" t="s">
        <v>221</v>
      </c>
      <c r="B60" s="472"/>
      <c r="C60" s="162">
        <v>4169291</v>
      </c>
      <c r="D60" s="162">
        <v>4230808</v>
      </c>
      <c r="E60" s="162">
        <v>3341687</v>
      </c>
      <c r="L60" s="434"/>
      <c r="M60" s="434" t="s">
        <v>229</v>
      </c>
      <c r="N60" s="434" t="s">
        <v>230</v>
      </c>
      <c r="O60" s="434" t="s">
        <v>231</v>
      </c>
      <c r="P60" s="434" t="s">
        <v>232</v>
      </c>
      <c r="Q60" s="434" t="s">
        <v>233</v>
      </c>
      <c r="R60"/>
      <c r="S60"/>
      <c r="T60"/>
    </row>
    <row r="61" spans="1:23" ht="15" thickBot="1" x14ac:dyDescent="0.4">
      <c r="A61" s="471" t="s">
        <v>223</v>
      </c>
      <c r="B61" s="472"/>
      <c r="C61" s="163">
        <v>0.47410000000000002</v>
      </c>
      <c r="D61" s="163">
        <v>0.43540000000000001</v>
      </c>
      <c r="E61" s="163">
        <v>0.36120000000000002</v>
      </c>
      <c r="L61" t="s">
        <v>234</v>
      </c>
      <c r="M61">
        <v>1</v>
      </c>
      <c r="N61">
        <v>41948521.801191084</v>
      </c>
      <c r="O61">
        <v>41948521.801191084</v>
      </c>
      <c r="P61">
        <v>23.285561532247574</v>
      </c>
      <c r="Q61">
        <v>1.6961520951765202E-2</v>
      </c>
      <c r="R61"/>
      <c r="S61"/>
      <c r="T61"/>
    </row>
    <row r="62" spans="1:23" ht="15" thickBot="1" x14ac:dyDescent="0.4">
      <c r="A62" s="473" t="s">
        <v>235</v>
      </c>
      <c r="B62" s="474"/>
      <c r="C62" s="161">
        <v>1</v>
      </c>
      <c r="D62" s="161">
        <v>1</v>
      </c>
      <c r="E62" s="161">
        <v>1</v>
      </c>
      <c r="L62" t="s">
        <v>236</v>
      </c>
      <c r="M62">
        <v>3</v>
      </c>
      <c r="N62">
        <v>5404446.2371797636</v>
      </c>
      <c r="O62">
        <v>1801482.0790599212</v>
      </c>
      <c r="P62"/>
      <c r="Q62"/>
      <c r="R62"/>
      <c r="S62"/>
      <c r="T62"/>
    </row>
    <row r="63" spans="1:23" ht="15" thickBot="1" x14ac:dyDescent="0.4">
      <c r="A63" s="471" t="s">
        <v>216</v>
      </c>
      <c r="B63" s="472"/>
      <c r="C63" s="162">
        <v>59636286</v>
      </c>
      <c r="D63" s="162">
        <v>60919165</v>
      </c>
      <c r="E63" s="162">
        <v>59956247</v>
      </c>
      <c r="L63" s="433" t="s">
        <v>31</v>
      </c>
      <c r="M63" s="433">
        <v>4</v>
      </c>
      <c r="N63" s="433">
        <v>47352968.038370848</v>
      </c>
      <c r="O63" s="433"/>
      <c r="P63" s="433"/>
      <c r="Q63" s="433"/>
      <c r="R63"/>
      <c r="S63"/>
      <c r="T63"/>
    </row>
    <row r="64" spans="1:23" ht="15" thickBot="1" x14ac:dyDescent="0.4">
      <c r="A64" s="471" t="s">
        <v>217</v>
      </c>
      <c r="B64" s="472"/>
      <c r="C64" s="162">
        <v>59636286</v>
      </c>
      <c r="D64" s="162">
        <v>60919165</v>
      </c>
      <c r="E64" s="162">
        <v>59956247</v>
      </c>
      <c r="L64"/>
      <c r="M64"/>
      <c r="N64"/>
      <c r="O64"/>
      <c r="P64"/>
      <c r="Q64"/>
      <c r="R64"/>
      <c r="S64"/>
      <c r="T64"/>
    </row>
    <row r="65" spans="1:20" ht="15" thickBot="1" x14ac:dyDescent="0.4">
      <c r="A65" s="471" t="s">
        <v>219</v>
      </c>
      <c r="B65" s="472"/>
      <c r="C65" s="162">
        <v>31967663</v>
      </c>
      <c r="D65" s="162">
        <v>34640863</v>
      </c>
      <c r="E65" s="162">
        <v>36059016</v>
      </c>
      <c r="L65" s="434"/>
      <c r="M65" s="434" t="s">
        <v>237</v>
      </c>
      <c r="N65" s="434" t="s">
        <v>226</v>
      </c>
      <c r="O65" s="434" t="s">
        <v>238</v>
      </c>
      <c r="P65" s="434" t="s">
        <v>239</v>
      </c>
      <c r="Q65" s="434" t="s">
        <v>240</v>
      </c>
      <c r="R65" s="434" t="s">
        <v>241</v>
      </c>
      <c r="S65" s="434" t="s">
        <v>242</v>
      </c>
      <c r="T65" s="434" t="s">
        <v>243</v>
      </c>
    </row>
    <row r="66" spans="1:20" ht="15" thickBot="1" x14ac:dyDescent="0.4">
      <c r="A66" s="471" t="s">
        <v>221</v>
      </c>
      <c r="B66" s="472"/>
      <c r="C66" s="162">
        <v>27668623</v>
      </c>
      <c r="D66" s="162">
        <v>26278301</v>
      </c>
      <c r="E66" s="162">
        <v>23897232</v>
      </c>
      <c r="L66" t="s">
        <v>244</v>
      </c>
      <c r="M66">
        <v>16977.500877985869</v>
      </c>
      <c r="N66">
        <v>8497.1896298769279</v>
      </c>
      <c r="O66">
        <v>1.9980136512772835</v>
      </c>
      <c r="P66">
        <v>0.13959446867716302</v>
      </c>
      <c r="Q66">
        <v>-10064.348864911008</v>
      </c>
      <c r="R66">
        <v>44019.350620882746</v>
      </c>
      <c r="S66">
        <v>-10064.348864911008</v>
      </c>
      <c r="T66">
        <v>44019.350620882746</v>
      </c>
    </row>
    <row r="67" spans="1:20" ht="15" thickBot="1" x14ac:dyDescent="0.4">
      <c r="A67" s="469" t="s">
        <v>223</v>
      </c>
      <c r="B67" s="470"/>
      <c r="C67" s="163">
        <v>0.46400000000000002</v>
      </c>
      <c r="D67" s="163">
        <v>0.43140000000000001</v>
      </c>
      <c r="E67" s="163">
        <v>0.39860000000000001</v>
      </c>
      <c r="L67" s="433" t="s">
        <v>177</v>
      </c>
      <c r="M67" s="433">
        <v>0.33533205643638936</v>
      </c>
      <c r="N67" s="433">
        <v>6.9491504539535814E-2</v>
      </c>
      <c r="O67" s="433">
        <v>4.8255115306304646</v>
      </c>
      <c r="P67" s="433">
        <v>1.6961520951765202E-2</v>
      </c>
      <c r="Q67" s="433">
        <v>0.11417907456593751</v>
      </c>
      <c r="R67" s="433">
        <v>0.55648503830684115</v>
      </c>
      <c r="S67" s="433">
        <v>0.11417907456593751</v>
      </c>
      <c r="T67" s="433">
        <v>0.55648503830684115</v>
      </c>
    </row>
    <row r="68" spans="1:20" x14ac:dyDescent="0.35">
      <c r="L68"/>
      <c r="M68"/>
      <c r="N68"/>
      <c r="O68"/>
      <c r="P68"/>
      <c r="Q68"/>
      <c r="R68"/>
      <c r="S68"/>
      <c r="T68"/>
    </row>
    <row r="69" spans="1:20" x14ac:dyDescent="0.35">
      <c r="L69"/>
      <c r="M69"/>
      <c r="N69"/>
      <c r="O69"/>
      <c r="P69"/>
      <c r="Q69"/>
      <c r="R69"/>
      <c r="S69"/>
      <c r="T69"/>
    </row>
    <row r="70" spans="1:20" x14ac:dyDescent="0.35">
      <c r="L70"/>
      <c r="M70"/>
      <c r="N70"/>
      <c r="O70"/>
      <c r="P70"/>
      <c r="Q70"/>
      <c r="R70"/>
      <c r="S70"/>
      <c r="T70"/>
    </row>
    <row r="71" spans="1:20" ht="15" thickBot="1" x14ac:dyDescent="0.4">
      <c r="L71" s="433">
        <v>128093.1</v>
      </c>
      <c r="M71" s="433">
        <v>0.33533205643638936</v>
      </c>
      <c r="N71" s="433">
        <v>6.9491504539535814E-2</v>
      </c>
      <c r="O71" s="433">
        <v>4.8255115306304646</v>
      </c>
      <c r="P71" s="433">
        <v>1.6961520951765202E-2</v>
      </c>
      <c r="Q71" s="433">
        <v>0.11417907456593751</v>
      </c>
      <c r="R71" s="433">
        <v>0.55648503830684115</v>
      </c>
      <c r="S71" s="433">
        <v>0.11417907456593751</v>
      </c>
      <c r="T71" s="433">
        <v>0.55648503830684115</v>
      </c>
    </row>
    <row r="72" spans="1:20" x14ac:dyDescent="0.35">
      <c r="L72">
        <v>132877.6</v>
      </c>
      <c r="M72"/>
      <c r="N72"/>
      <c r="O72"/>
      <c r="P72"/>
      <c r="Q72"/>
      <c r="R72"/>
      <c r="S72"/>
      <c r="T72"/>
    </row>
    <row r="73" spans="1:20" x14ac:dyDescent="0.35">
      <c r="L73"/>
      <c r="M73"/>
      <c r="N73"/>
      <c r="O73"/>
      <c r="P73"/>
      <c r="Q73"/>
      <c r="R73"/>
      <c r="S73"/>
      <c r="T73"/>
    </row>
    <row r="74" spans="1:20" x14ac:dyDescent="0.35">
      <c r="L74"/>
      <c r="M74"/>
      <c r="N74"/>
      <c r="O74"/>
      <c r="P74"/>
      <c r="Q74"/>
      <c r="R74"/>
      <c r="S74"/>
      <c r="T74"/>
    </row>
    <row r="75" spans="1:20" x14ac:dyDescent="0.35">
      <c r="K75" s="2" t="s">
        <v>179</v>
      </c>
      <c r="L75" s="2" t="s">
        <v>180</v>
      </c>
      <c r="M75" s="2" t="s">
        <v>182</v>
      </c>
      <c r="N75" s="2" t="s">
        <v>145</v>
      </c>
      <c r="O75" s="2" t="s">
        <v>183</v>
      </c>
      <c r="P75" t="s">
        <v>177</v>
      </c>
      <c r="Q75" t="s">
        <v>205</v>
      </c>
    </row>
    <row r="76" spans="1:20" x14ac:dyDescent="0.35">
      <c r="K76" s="2">
        <v>24.5</v>
      </c>
      <c r="L76" s="2">
        <v>45.3</v>
      </c>
      <c r="M76" s="2">
        <v>66.8</v>
      </c>
      <c r="N76" s="2">
        <v>79.3</v>
      </c>
      <c r="O76" s="2">
        <v>18.2</v>
      </c>
      <c r="P76">
        <v>108205.1</v>
      </c>
      <c r="Q76">
        <v>52561.95</v>
      </c>
    </row>
    <row r="77" spans="1:20" x14ac:dyDescent="0.35">
      <c r="K77" s="2">
        <v>24.4</v>
      </c>
      <c r="L77" s="2">
        <v>48</v>
      </c>
      <c r="M77" s="2">
        <v>66</v>
      </c>
      <c r="N77" s="2">
        <v>79.8</v>
      </c>
      <c r="O77" s="2">
        <v>18.399999999999999</v>
      </c>
      <c r="P77">
        <v>117038.9</v>
      </c>
      <c r="Q77">
        <v>56318.123</v>
      </c>
    </row>
    <row r="78" spans="1:20" x14ac:dyDescent="0.35">
      <c r="K78" s="2">
        <v>23.2</v>
      </c>
      <c r="L78" s="2">
        <v>48.3</v>
      </c>
      <c r="M78" s="2">
        <v>65.8</v>
      </c>
      <c r="N78" s="2">
        <v>81.599999999999994</v>
      </c>
      <c r="O78" s="2">
        <v>19.399999999999999</v>
      </c>
      <c r="P78" s="2">
        <v>123641.3</v>
      </c>
      <c r="Q78" s="2">
        <v>59636.286</v>
      </c>
    </row>
    <row r="79" spans="1:20" x14ac:dyDescent="0.35">
      <c r="K79" s="2">
        <v>21.5</v>
      </c>
      <c r="L79" s="2">
        <v>47.9</v>
      </c>
      <c r="M79" s="2">
        <v>65.5</v>
      </c>
      <c r="N79" s="2">
        <v>82</v>
      </c>
      <c r="O79" s="2">
        <v>19.5</v>
      </c>
      <c r="P79" s="2">
        <v>128093.1</v>
      </c>
      <c r="Q79" s="2">
        <v>60919.165000000001</v>
      </c>
    </row>
    <row r="80" spans="1:20" x14ac:dyDescent="0.35">
      <c r="K80" s="2">
        <v>19.899999999999999</v>
      </c>
      <c r="L80" s="2">
        <v>46.1</v>
      </c>
      <c r="M80" s="2">
        <v>63.6</v>
      </c>
      <c r="N80" s="2">
        <v>82.2</v>
      </c>
      <c r="O80" s="2">
        <v>19</v>
      </c>
      <c r="P80" s="2">
        <v>132877.6</v>
      </c>
      <c r="Q80" s="2">
        <v>59956.247000000003</v>
      </c>
    </row>
    <row r="81" spans="11:18" x14ac:dyDescent="0.35">
      <c r="K81" s="2">
        <v>20</v>
      </c>
      <c r="L81" s="2">
        <v>44.8</v>
      </c>
      <c r="M81" s="2">
        <v>62.5</v>
      </c>
      <c r="N81" s="2">
        <v>82.8</v>
      </c>
      <c r="O81" s="2">
        <v>18.5</v>
      </c>
    </row>
    <row r="89" spans="11:18" x14ac:dyDescent="0.35">
      <c r="L89" s="2" t="s">
        <v>179</v>
      </c>
      <c r="M89" s="2">
        <v>24.5</v>
      </c>
      <c r="N89" s="2">
        <v>24.4</v>
      </c>
      <c r="O89" s="2">
        <v>23.2</v>
      </c>
      <c r="P89" s="2">
        <v>21.5</v>
      </c>
      <c r="Q89" s="2">
        <v>19.899999999999999</v>
      </c>
      <c r="R89" s="2">
        <v>20</v>
      </c>
    </row>
    <row r="90" spans="11:18" x14ac:dyDescent="0.35">
      <c r="L90" s="2" t="s">
        <v>180</v>
      </c>
      <c r="M90" s="2">
        <v>45.3</v>
      </c>
      <c r="N90" s="2">
        <v>48</v>
      </c>
      <c r="O90" s="2">
        <v>48.3</v>
      </c>
      <c r="P90" s="2">
        <v>47.9</v>
      </c>
      <c r="Q90" s="2">
        <v>46.1</v>
      </c>
      <c r="R90" s="2">
        <v>44.8</v>
      </c>
    </row>
    <row r="91" spans="11:18" x14ac:dyDescent="0.35">
      <c r="L91" s="2" t="s">
        <v>182</v>
      </c>
      <c r="M91" s="2">
        <v>66.8</v>
      </c>
      <c r="N91" s="2">
        <v>66</v>
      </c>
      <c r="O91" s="2">
        <v>65.8</v>
      </c>
      <c r="P91" s="2">
        <v>65.5</v>
      </c>
      <c r="Q91" s="2">
        <v>63.6</v>
      </c>
      <c r="R91" s="2">
        <v>62.5</v>
      </c>
    </row>
    <row r="92" spans="11:18" x14ac:dyDescent="0.35">
      <c r="L92" s="2" t="s">
        <v>145</v>
      </c>
      <c r="M92" s="2">
        <v>79.3</v>
      </c>
      <c r="N92" s="2">
        <v>79.8</v>
      </c>
      <c r="O92" s="2">
        <v>81.599999999999994</v>
      </c>
      <c r="P92" s="2">
        <v>82</v>
      </c>
      <c r="Q92" s="2">
        <v>82.2</v>
      </c>
      <c r="R92" s="2">
        <v>82.8</v>
      </c>
    </row>
    <row r="93" spans="11:18" x14ac:dyDescent="0.35">
      <c r="L93" s="2" t="s">
        <v>183</v>
      </c>
      <c r="M93" s="2">
        <v>18.2</v>
      </c>
      <c r="N93" s="2">
        <v>18.399999999999999</v>
      </c>
      <c r="O93" s="2">
        <v>19.399999999999999</v>
      </c>
      <c r="P93" s="2">
        <v>19.5</v>
      </c>
      <c r="Q93" s="2">
        <v>19</v>
      </c>
      <c r="R93" s="2">
        <v>18.5</v>
      </c>
    </row>
    <row r="99" spans="12:20" x14ac:dyDescent="0.35">
      <c r="L99" t="s">
        <v>215</v>
      </c>
      <c r="M99"/>
      <c r="N99"/>
      <c r="O99"/>
      <c r="P99"/>
      <c r="Q99"/>
      <c r="R99"/>
      <c r="S99"/>
      <c r="T99"/>
    </row>
    <row r="100" spans="12:20" ht="15" thickBot="1" x14ac:dyDescent="0.4">
      <c r="L100"/>
      <c r="M100"/>
      <c r="N100"/>
      <c r="O100"/>
      <c r="P100"/>
      <c r="Q100"/>
      <c r="R100"/>
      <c r="S100"/>
      <c r="T100"/>
    </row>
    <row r="101" spans="12:20" x14ac:dyDescent="0.35">
      <c r="L101" s="452" t="s">
        <v>218</v>
      </c>
      <c r="M101" s="452"/>
      <c r="N101"/>
      <c r="O101"/>
      <c r="P101"/>
      <c r="Q101"/>
      <c r="R101"/>
      <c r="S101"/>
      <c r="T101"/>
    </row>
    <row r="102" spans="12:20" x14ac:dyDescent="0.35">
      <c r="L102" t="s">
        <v>220</v>
      </c>
      <c r="M102">
        <v>1</v>
      </c>
      <c r="N102"/>
      <c r="O102"/>
      <c r="P102"/>
      <c r="Q102"/>
      <c r="R102"/>
      <c r="S102"/>
      <c r="T102"/>
    </row>
    <row r="103" spans="12:20" x14ac:dyDescent="0.35">
      <c r="L103" t="s">
        <v>222</v>
      </c>
      <c r="M103">
        <v>1</v>
      </c>
      <c r="N103"/>
      <c r="O103"/>
      <c r="P103"/>
      <c r="Q103"/>
      <c r="R103"/>
      <c r="S103"/>
      <c r="T103"/>
    </row>
    <row r="104" spans="12:20" x14ac:dyDescent="0.35">
      <c r="L104" t="s">
        <v>224</v>
      </c>
      <c r="M104">
        <v>65535</v>
      </c>
      <c r="N104"/>
      <c r="O104"/>
      <c r="P104"/>
      <c r="Q104"/>
      <c r="R104"/>
      <c r="S104"/>
      <c r="T104"/>
    </row>
    <row r="105" spans="12:20" x14ac:dyDescent="0.35">
      <c r="L105" t="s">
        <v>226</v>
      </c>
      <c r="M105">
        <v>0</v>
      </c>
      <c r="N105"/>
      <c r="O105"/>
      <c r="P105"/>
      <c r="Q105"/>
      <c r="R105"/>
      <c r="S105"/>
      <c r="T105"/>
    </row>
    <row r="106" spans="12:20" ht="15" thickBot="1" x14ac:dyDescent="0.4">
      <c r="L106" s="433" t="s">
        <v>227</v>
      </c>
      <c r="M106" s="433">
        <v>5</v>
      </c>
      <c r="N106"/>
      <c r="O106"/>
      <c r="P106"/>
      <c r="Q106"/>
      <c r="R106"/>
      <c r="S106"/>
      <c r="T106"/>
    </row>
    <row r="107" spans="12:20" x14ac:dyDescent="0.35">
      <c r="L107"/>
      <c r="M107"/>
      <c r="N107"/>
      <c r="O107"/>
      <c r="P107"/>
      <c r="Q107"/>
      <c r="R107"/>
      <c r="S107"/>
      <c r="T107"/>
    </row>
    <row r="108" spans="12:20" ht="15" thickBot="1" x14ac:dyDescent="0.4">
      <c r="L108" t="s">
        <v>228</v>
      </c>
      <c r="M108"/>
      <c r="N108"/>
      <c r="O108"/>
      <c r="P108"/>
      <c r="Q108"/>
      <c r="R108"/>
      <c r="S108"/>
      <c r="T108"/>
    </row>
    <row r="109" spans="12:20" x14ac:dyDescent="0.35">
      <c r="L109" s="434"/>
      <c r="M109" s="434" t="s">
        <v>229</v>
      </c>
      <c r="N109" s="434" t="s">
        <v>230</v>
      </c>
      <c r="O109" s="434" t="s">
        <v>231</v>
      </c>
      <c r="P109" s="434" t="s">
        <v>232</v>
      </c>
      <c r="Q109" s="434" t="s">
        <v>233</v>
      </c>
      <c r="R109"/>
      <c r="S109"/>
      <c r="T109"/>
    </row>
    <row r="110" spans="12:20" x14ac:dyDescent="0.35">
      <c r="L110" t="s">
        <v>234</v>
      </c>
      <c r="M110">
        <v>4</v>
      </c>
      <c r="N110">
        <v>47352968.038370848</v>
      </c>
      <c r="O110">
        <v>11838242.009592712</v>
      </c>
      <c r="P110" t="e">
        <v>#NUM!</v>
      </c>
      <c r="Q110" t="e">
        <v>#NUM!</v>
      </c>
      <c r="R110"/>
      <c r="S110"/>
      <c r="T110"/>
    </row>
    <row r="111" spans="12:20" x14ac:dyDescent="0.35">
      <c r="L111" t="s">
        <v>236</v>
      </c>
      <c r="M111">
        <v>0</v>
      </c>
      <c r="N111">
        <v>0</v>
      </c>
      <c r="O111">
        <v>65535</v>
      </c>
      <c r="P111"/>
      <c r="Q111"/>
      <c r="R111"/>
      <c r="S111"/>
      <c r="T111"/>
    </row>
    <row r="112" spans="12:20" ht="15" thickBot="1" x14ac:dyDescent="0.4">
      <c r="L112" s="433" t="s">
        <v>31</v>
      </c>
      <c r="M112" s="433">
        <v>4</v>
      </c>
      <c r="N112" s="433">
        <v>47352968.038370848</v>
      </c>
      <c r="O112" s="433"/>
      <c r="P112" s="433"/>
      <c r="Q112" s="433"/>
      <c r="R112"/>
      <c r="S112"/>
      <c r="T112"/>
    </row>
    <row r="113" spans="12:20" ht="15" thickBot="1" x14ac:dyDescent="0.4">
      <c r="L113"/>
      <c r="M113"/>
      <c r="N113"/>
      <c r="O113"/>
      <c r="P113"/>
      <c r="Q113"/>
      <c r="R113"/>
      <c r="S113"/>
      <c r="T113"/>
    </row>
    <row r="114" spans="12:20" x14ac:dyDescent="0.35">
      <c r="L114" s="434"/>
      <c r="M114" s="434" t="s">
        <v>237</v>
      </c>
      <c r="N114" s="434" t="s">
        <v>226</v>
      </c>
      <c r="O114" s="434" t="s">
        <v>238</v>
      </c>
      <c r="P114" s="434" t="s">
        <v>239</v>
      </c>
      <c r="Q114" s="434" t="s">
        <v>240</v>
      </c>
      <c r="R114" s="434" t="s">
        <v>241</v>
      </c>
      <c r="S114" s="434" t="s">
        <v>242</v>
      </c>
      <c r="T114" s="434" t="s">
        <v>243</v>
      </c>
    </row>
    <row r="115" spans="12:20" x14ac:dyDescent="0.35">
      <c r="L115" t="s">
        <v>244</v>
      </c>
      <c r="M115">
        <v>-1718021.494801437</v>
      </c>
      <c r="N115">
        <v>0</v>
      </c>
      <c r="O115">
        <v>65535</v>
      </c>
      <c r="P115" t="e">
        <v>#NUM!</v>
      </c>
      <c r="Q115" t="e">
        <v>#VALUE!</v>
      </c>
      <c r="R115" t="e">
        <v>#VALUE!</v>
      </c>
      <c r="S115">
        <v>-1718021.494801437</v>
      </c>
      <c r="T115">
        <v>-1718021.494801437</v>
      </c>
    </row>
    <row r="116" spans="12:20" x14ac:dyDescent="0.35">
      <c r="L116" t="s">
        <v>180</v>
      </c>
      <c r="M116">
        <v>2644.7201060509497</v>
      </c>
      <c r="N116">
        <v>0</v>
      </c>
      <c r="O116">
        <v>65535</v>
      </c>
      <c r="P116" t="e">
        <v>#NUM!</v>
      </c>
      <c r="Q116">
        <v>2644.7201060509497</v>
      </c>
      <c r="R116">
        <v>2644.7201060509497</v>
      </c>
      <c r="S116">
        <v>2644.7201060509497</v>
      </c>
      <c r="T116">
        <v>2644.7201060509497</v>
      </c>
    </row>
    <row r="117" spans="12:20" x14ac:dyDescent="0.35">
      <c r="L117" t="s">
        <v>182</v>
      </c>
      <c r="M117">
        <v>8969.1834217082487</v>
      </c>
      <c r="N117">
        <v>0</v>
      </c>
      <c r="O117">
        <v>65535</v>
      </c>
      <c r="P117" t="e">
        <v>#NUM!</v>
      </c>
      <c r="Q117">
        <v>8969.1834217082487</v>
      </c>
      <c r="R117">
        <v>8969.1834217082487</v>
      </c>
      <c r="S117">
        <v>8969.1834217082487</v>
      </c>
      <c r="T117">
        <v>8969.1834217082487</v>
      </c>
    </row>
    <row r="118" spans="12:20" x14ac:dyDescent="0.35">
      <c r="L118" t="s">
        <v>145</v>
      </c>
      <c r="M118">
        <v>20907.562289455022</v>
      </c>
      <c r="N118">
        <v>0</v>
      </c>
      <c r="O118">
        <v>65535</v>
      </c>
      <c r="P118" t="e">
        <v>#NUM!</v>
      </c>
      <c r="Q118">
        <v>20907.562289455022</v>
      </c>
      <c r="R118">
        <v>20907.562289455022</v>
      </c>
      <c r="S118">
        <v>20907.562289455022</v>
      </c>
      <c r="T118">
        <v>20907.562289455022</v>
      </c>
    </row>
    <row r="119" spans="12:20" ht="15" thickBot="1" x14ac:dyDescent="0.4">
      <c r="L119" s="433" t="s">
        <v>183</v>
      </c>
      <c r="M119" s="433">
        <v>-33315.028468492594</v>
      </c>
      <c r="N119" s="433">
        <v>0</v>
      </c>
      <c r="O119" s="433">
        <v>65535</v>
      </c>
      <c r="P119" s="433" t="e">
        <v>#NUM!</v>
      </c>
      <c r="Q119" s="433">
        <v>-33315.028468492594</v>
      </c>
      <c r="R119" s="433">
        <v>-33315.028468492594</v>
      </c>
      <c r="S119" s="433">
        <v>-33315.028468492594</v>
      </c>
      <c r="T119" s="433">
        <v>-33315.028468492594</v>
      </c>
    </row>
    <row r="120" spans="12:20" x14ac:dyDescent="0.35">
      <c r="L120"/>
      <c r="M120"/>
      <c r="N120"/>
      <c r="O120"/>
      <c r="P120"/>
      <c r="Q120"/>
      <c r="R120"/>
      <c r="S120"/>
      <c r="T120"/>
    </row>
    <row r="121" spans="12:20" x14ac:dyDescent="0.35">
      <c r="L121"/>
      <c r="M121"/>
      <c r="N121"/>
      <c r="O121"/>
      <c r="P121"/>
      <c r="Q121"/>
      <c r="R121"/>
      <c r="S121"/>
      <c r="T121"/>
    </row>
    <row r="122" spans="12:20" x14ac:dyDescent="0.35">
      <c r="L122"/>
      <c r="M122"/>
      <c r="N122"/>
      <c r="O122"/>
      <c r="P122"/>
      <c r="Q122"/>
      <c r="R122"/>
      <c r="S122"/>
      <c r="T122"/>
    </row>
  </sheetData>
  <mergeCells count="21">
    <mergeCell ref="A58:B58"/>
    <mergeCell ref="N2:R2"/>
    <mergeCell ref="V2:Z2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  <mergeCell ref="A65:B65"/>
    <mergeCell ref="A66:B66"/>
    <mergeCell ref="A67:B67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089-9878-466B-BF24-6DBA8A548B6B}">
  <dimension ref="A1:S93"/>
  <sheetViews>
    <sheetView zoomScale="85" zoomScaleNormal="85" workbookViewId="0">
      <selection activeCell="O95" sqref="O95"/>
    </sheetView>
  </sheetViews>
  <sheetFormatPr defaultRowHeight="14.5" x14ac:dyDescent="0.35"/>
  <cols>
    <col min="3" max="3" width="32.453125" bestFit="1" customWidth="1"/>
    <col min="9" max="9" width="32.453125" bestFit="1" customWidth="1"/>
    <col min="12" max="12" width="32.453125" bestFit="1" customWidth="1"/>
    <col min="13" max="13" width="19.453125" bestFit="1" customWidth="1"/>
    <col min="14" max="18" width="9.7265625" bestFit="1" customWidth="1"/>
  </cols>
  <sheetData>
    <row r="1" spans="1:11" x14ac:dyDescent="0.35">
      <c r="A1" s="31"/>
      <c r="B1" s="31"/>
      <c r="C1" s="31"/>
      <c r="D1" s="31"/>
      <c r="E1" s="31"/>
      <c r="F1" s="31"/>
      <c r="G1" s="31"/>
      <c r="H1" s="31"/>
    </row>
    <row r="2" spans="1:11" x14ac:dyDescent="0.35">
      <c r="A2" s="32"/>
      <c r="B2" s="32"/>
      <c r="C2" s="32"/>
      <c r="D2" s="32"/>
      <c r="E2" s="32"/>
      <c r="F2" s="32"/>
      <c r="G2" s="32"/>
      <c r="H2" s="32"/>
    </row>
    <row r="3" spans="1:11" x14ac:dyDescent="0.35">
      <c r="A3" s="31"/>
      <c r="B3" s="31"/>
      <c r="C3" s="31"/>
      <c r="D3" s="31"/>
      <c r="E3" s="31"/>
      <c r="F3" s="31"/>
      <c r="G3" s="31"/>
      <c r="H3" s="31"/>
    </row>
    <row r="4" spans="1:11" x14ac:dyDescent="0.35">
      <c r="A4" s="31"/>
      <c r="B4" s="31"/>
      <c r="C4" s="31"/>
      <c r="D4" s="31"/>
      <c r="E4" s="31"/>
      <c r="F4" s="31"/>
      <c r="G4" s="31"/>
      <c r="H4" s="31"/>
    </row>
    <row r="5" spans="1:11" x14ac:dyDescent="0.35">
      <c r="A5" s="31" t="s">
        <v>1081</v>
      </c>
      <c r="B5" s="28"/>
      <c r="C5" s="28"/>
      <c r="D5" s="28"/>
      <c r="E5" s="28"/>
      <c r="F5" s="28"/>
      <c r="G5" s="28"/>
      <c r="H5" s="28"/>
    </row>
    <row r="6" spans="1:11" x14ac:dyDescent="0.35">
      <c r="A6" s="1" t="s">
        <v>173</v>
      </c>
      <c r="B6" s="1" t="s">
        <v>174</v>
      </c>
      <c r="C6" s="1" t="s">
        <v>1082</v>
      </c>
      <c r="D6" s="1" t="s">
        <v>1083</v>
      </c>
      <c r="E6" s="1" t="s">
        <v>1084</v>
      </c>
      <c r="F6" s="1" t="s">
        <v>1085</v>
      </c>
      <c r="G6" s="1" t="s">
        <v>1086</v>
      </c>
      <c r="H6" s="1" t="s">
        <v>1087</v>
      </c>
      <c r="I6" s="1" t="s">
        <v>1088</v>
      </c>
      <c r="J6" s="1" t="s">
        <v>1082</v>
      </c>
      <c r="K6" s="1">
        <v>2022</v>
      </c>
    </row>
    <row r="7" spans="1:11" x14ac:dyDescent="0.35">
      <c r="A7" s="17" t="s">
        <v>177</v>
      </c>
      <c r="B7" s="18" t="s">
        <v>195</v>
      </c>
      <c r="C7" s="17" t="s">
        <v>1089</v>
      </c>
      <c r="D7" s="30">
        <v>79.3</v>
      </c>
      <c r="E7" s="30">
        <v>79.8</v>
      </c>
      <c r="F7" s="30">
        <v>81.599999999999994</v>
      </c>
      <c r="G7" s="30">
        <v>82</v>
      </c>
      <c r="H7" s="30">
        <v>82.2</v>
      </c>
      <c r="I7" s="30">
        <v>82.8</v>
      </c>
      <c r="J7" s="17" t="s">
        <v>1089</v>
      </c>
      <c r="K7" s="30">
        <f>H7</f>
        <v>82.2</v>
      </c>
    </row>
    <row r="8" spans="1:11" x14ac:dyDescent="0.35">
      <c r="A8" s="17" t="s">
        <v>177</v>
      </c>
      <c r="B8" s="18" t="s">
        <v>195</v>
      </c>
      <c r="C8" s="17" t="s">
        <v>1090</v>
      </c>
      <c r="D8" s="30">
        <v>16.600000000000001</v>
      </c>
      <c r="E8" s="30">
        <v>15.9</v>
      </c>
      <c r="F8" s="30">
        <v>13.9</v>
      </c>
      <c r="G8" s="30">
        <v>13.2</v>
      </c>
      <c r="H8" s="30">
        <v>12.9</v>
      </c>
      <c r="I8" s="30">
        <v>12.4</v>
      </c>
      <c r="J8" s="17" t="s">
        <v>1090</v>
      </c>
      <c r="K8" s="30">
        <f t="shared" ref="K8:K11" si="0">H8</f>
        <v>12.9</v>
      </c>
    </row>
    <row r="9" spans="1:11" x14ac:dyDescent="0.35">
      <c r="A9" s="17" t="s">
        <v>177</v>
      </c>
      <c r="B9" s="18" t="s">
        <v>195</v>
      </c>
      <c r="C9" s="17" t="s">
        <v>1091</v>
      </c>
      <c r="D9" s="30">
        <v>1.9</v>
      </c>
      <c r="E9" s="30">
        <v>1.9</v>
      </c>
      <c r="F9" s="30">
        <v>1.8</v>
      </c>
      <c r="G9" s="30">
        <v>1.8</v>
      </c>
      <c r="H9" s="30">
        <v>1.8</v>
      </c>
      <c r="I9" s="30">
        <v>1.8</v>
      </c>
      <c r="J9" s="17" t="s">
        <v>1091</v>
      </c>
      <c r="K9" s="30">
        <f t="shared" si="0"/>
        <v>1.8</v>
      </c>
    </row>
    <row r="10" spans="1:11" x14ac:dyDescent="0.35">
      <c r="A10" s="17" t="s">
        <v>177</v>
      </c>
      <c r="B10" s="18" t="s">
        <v>195</v>
      </c>
      <c r="C10" s="17" t="s">
        <v>1092</v>
      </c>
      <c r="D10" s="30">
        <v>0.4</v>
      </c>
      <c r="E10" s="30">
        <v>0.7</v>
      </c>
      <c r="F10" s="30">
        <v>1</v>
      </c>
      <c r="G10" s="30">
        <v>1.2</v>
      </c>
      <c r="H10" s="30">
        <v>1.3</v>
      </c>
      <c r="I10" s="30">
        <v>1.3</v>
      </c>
      <c r="J10" s="17" t="s">
        <v>1092</v>
      </c>
      <c r="K10" s="30">
        <f t="shared" si="0"/>
        <v>1.3</v>
      </c>
    </row>
    <row r="11" spans="1:11" x14ac:dyDescent="0.35">
      <c r="A11" s="17" t="s">
        <v>177</v>
      </c>
      <c r="B11" s="18" t="s">
        <v>195</v>
      </c>
      <c r="C11" s="17" t="s">
        <v>130</v>
      </c>
      <c r="D11" s="30">
        <v>1.7</v>
      </c>
      <c r="E11" s="30">
        <v>1.7</v>
      </c>
      <c r="F11" s="30">
        <v>1.7</v>
      </c>
      <c r="G11" s="30">
        <v>1.7</v>
      </c>
      <c r="H11" s="30">
        <v>1.8</v>
      </c>
      <c r="I11" s="30">
        <v>1.8</v>
      </c>
      <c r="J11" s="17" t="s">
        <v>130</v>
      </c>
      <c r="K11" s="30">
        <f t="shared" si="0"/>
        <v>1.8</v>
      </c>
    </row>
    <row r="12" spans="1:11" x14ac:dyDescent="0.35">
      <c r="A12" s="17" t="s">
        <v>177</v>
      </c>
      <c r="B12" s="18" t="s">
        <v>195</v>
      </c>
      <c r="C12" s="17" t="s">
        <v>31</v>
      </c>
      <c r="D12" s="30">
        <v>100</v>
      </c>
      <c r="E12" s="30">
        <v>100</v>
      </c>
      <c r="F12" s="30">
        <v>100</v>
      </c>
      <c r="G12" s="30">
        <v>100</v>
      </c>
      <c r="H12" s="30">
        <v>100</v>
      </c>
      <c r="I12" s="30">
        <v>100</v>
      </c>
      <c r="J12" s="17" t="s">
        <v>31</v>
      </c>
    </row>
    <row r="14" spans="1:11" x14ac:dyDescent="0.35">
      <c r="A14" s="33" t="s">
        <v>1093</v>
      </c>
      <c r="B14" s="27"/>
      <c r="C14" s="27"/>
      <c r="D14" s="27"/>
      <c r="E14" s="27"/>
      <c r="F14" s="27"/>
      <c r="G14" s="27"/>
      <c r="H14" s="27"/>
    </row>
    <row r="15" spans="1:11" x14ac:dyDescent="0.35">
      <c r="A15" s="28" t="s">
        <v>1094</v>
      </c>
      <c r="B15" s="27"/>
      <c r="C15" s="27"/>
      <c r="D15" s="27"/>
      <c r="E15" s="27"/>
      <c r="F15" s="27"/>
      <c r="G15" s="27"/>
      <c r="H15" s="27"/>
    </row>
    <row r="17" spans="1:8" x14ac:dyDescent="0.35">
      <c r="A17" s="28" t="s">
        <v>1095</v>
      </c>
    </row>
    <row r="18" spans="1:8" x14ac:dyDescent="0.35">
      <c r="A18" s="28" t="s">
        <v>1096</v>
      </c>
      <c r="D18" s="1" t="s">
        <v>1083</v>
      </c>
      <c r="E18" s="1" t="s">
        <v>1084</v>
      </c>
      <c r="F18" s="1" t="s">
        <v>1085</v>
      </c>
      <c r="G18" s="1" t="s">
        <v>1086</v>
      </c>
      <c r="H18" s="1" t="s">
        <v>1087</v>
      </c>
    </row>
    <row r="19" spans="1:8" x14ac:dyDescent="0.35">
      <c r="D19">
        <f>D7*N71/100</f>
        <v>5959.7121999999999</v>
      </c>
      <c r="E19">
        <f>E7*O71/100</f>
        <v>6533.944199999999</v>
      </c>
      <c r="F19">
        <f>F7*P71/100</f>
        <v>7147.5887999999986</v>
      </c>
      <c r="G19">
        <f>G7*Q71/100</f>
        <v>7398.7779999999993</v>
      </c>
      <c r="H19">
        <f>H7*R71/100</f>
        <v>7802.7528000000002</v>
      </c>
    </row>
    <row r="21" spans="1:8" x14ac:dyDescent="0.35">
      <c r="A21" s="31"/>
      <c r="B21" s="31"/>
      <c r="C21" s="31"/>
      <c r="D21" s="31"/>
      <c r="E21" s="31"/>
      <c r="F21" s="31"/>
      <c r="G21" s="31"/>
      <c r="H21" s="31"/>
    </row>
    <row r="22" spans="1:8" x14ac:dyDescent="0.35">
      <c r="A22" s="32"/>
      <c r="B22" s="32"/>
      <c r="C22" s="32"/>
      <c r="D22" s="32"/>
      <c r="E22" s="32"/>
      <c r="F22" s="32"/>
      <c r="G22" s="32"/>
      <c r="H22" s="32"/>
    </row>
    <row r="23" spans="1:8" x14ac:dyDescent="0.35">
      <c r="A23" s="31"/>
      <c r="B23" s="31"/>
      <c r="C23" s="31"/>
      <c r="D23" s="31"/>
      <c r="E23" s="31"/>
      <c r="F23" s="31"/>
      <c r="G23" s="31"/>
      <c r="H23" s="31"/>
    </row>
    <row r="24" spans="1:8" x14ac:dyDescent="0.35">
      <c r="A24" s="31"/>
      <c r="B24" s="31"/>
      <c r="C24" s="31"/>
      <c r="D24" s="31"/>
      <c r="E24" s="31"/>
      <c r="F24" s="31"/>
      <c r="G24" s="31"/>
      <c r="H24" s="31"/>
    </row>
    <row r="25" spans="1:8" x14ac:dyDescent="0.35">
      <c r="A25" s="31" t="s">
        <v>1097</v>
      </c>
      <c r="B25" s="28"/>
      <c r="C25" s="28"/>
      <c r="D25" s="28"/>
      <c r="E25" s="28"/>
      <c r="F25" s="28"/>
      <c r="G25" s="28"/>
      <c r="H25" s="28"/>
    </row>
    <row r="26" spans="1:8" x14ac:dyDescent="0.35">
      <c r="A26" s="1" t="s">
        <v>173</v>
      </c>
      <c r="B26" s="1" t="s">
        <v>174</v>
      </c>
      <c r="C26" s="1" t="s">
        <v>1082</v>
      </c>
      <c r="D26" s="1" t="s">
        <v>1098</v>
      </c>
      <c r="E26" s="1" t="s">
        <v>175</v>
      </c>
      <c r="F26" s="1" t="s">
        <v>1099</v>
      </c>
      <c r="G26" s="1" t="s">
        <v>1100</v>
      </c>
      <c r="H26" s="1" t="s">
        <v>1101</v>
      </c>
    </row>
    <row r="27" spans="1:8" x14ac:dyDescent="0.35">
      <c r="A27" s="17" t="s">
        <v>177</v>
      </c>
      <c r="B27" s="18" t="s">
        <v>195</v>
      </c>
      <c r="C27" s="17" t="s">
        <v>1089</v>
      </c>
      <c r="D27" s="17" t="s">
        <v>1102</v>
      </c>
      <c r="E27" s="17" t="s">
        <v>0</v>
      </c>
      <c r="F27" s="30">
        <v>31</v>
      </c>
      <c r="G27" s="30">
        <v>7</v>
      </c>
      <c r="H27" s="30">
        <v>1845.7</v>
      </c>
    </row>
    <row r="28" spans="1:8" x14ac:dyDescent="0.35">
      <c r="A28" s="17" t="s">
        <v>177</v>
      </c>
      <c r="B28" s="18" t="s">
        <v>195</v>
      </c>
      <c r="C28" s="17" t="s">
        <v>1103</v>
      </c>
      <c r="D28" s="17" t="s">
        <v>1102</v>
      </c>
      <c r="E28" s="17" t="s">
        <v>0</v>
      </c>
      <c r="F28" s="30">
        <v>-1.8</v>
      </c>
      <c r="G28" s="30">
        <v>-0.5</v>
      </c>
      <c r="H28" s="30">
        <v>-22.9</v>
      </c>
    </row>
    <row r="29" spans="1:8" x14ac:dyDescent="0.35">
      <c r="A29" s="17" t="s">
        <v>177</v>
      </c>
      <c r="B29" s="18" t="s">
        <v>195</v>
      </c>
      <c r="C29" s="17" t="s">
        <v>1104</v>
      </c>
      <c r="D29" s="17" t="s">
        <v>1102</v>
      </c>
      <c r="E29" s="17" t="s">
        <v>0</v>
      </c>
      <c r="F29" s="30">
        <v>18.399999999999999</v>
      </c>
      <c r="G29" s="30">
        <v>4.3</v>
      </c>
      <c r="H29" s="30">
        <v>26.7</v>
      </c>
    </row>
    <row r="30" spans="1:8" x14ac:dyDescent="0.35">
      <c r="A30" s="17" t="s">
        <v>177</v>
      </c>
      <c r="B30" s="18" t="s">
        <v>195</v>
      </c>
      <c r="C30" s="17" t="s">
        <v>1092</v>
      </c>
      <c r="D30" s="17" t="s">
        <v>1102</v>
      </c>
      <c r="E30" s="17" t="s">
        <v>0</v>
      </c>
      <c r="F30" s="30">
        <v>261.3</v>
      </c>
      <c r="G30" s="30">
        <v>37.9</v>
      </c>
      <c r="H30" s="30">
        <v>87.6</v>
      </c>
    </row>
    <row r="31" spans="1:8" x14ac:dyDescent="0.35">
      <c r="A31" s="17" t="s">
        <v>177</v>
      </c>
      <c r="B31" s="18" t="s">
        <v>195</v>
      </c>
      <c r="C31" s="17" t="s">
        <v>130</v>
      </c>
      <c r="D31" s="17" t="s">
        <v>1102</v>
      </c>
      <c r="E31" s="17" t="s">
        <v>0</v>
      </c>
      <c r="F31" s="30">
        <v>31.3</v>
      </c>
      <c r="G31" s="30">
        <v>7</v>
      </c>
      <c r="H31" s="30">
        <v>39.9</v>
      </c>
    </row>
    <row r="32" spans="1:8" x14ac:dyDescent="0.35">
      <c r="A32" s="17" t="s">
        <v>177</v>
      </c>
      <c r="B32" s="18" t="s">
        <v>195</v>
      </c>
      <c r="C32" s="17" t="s">
        <v>31</v>
      </c>
      <c r="D32" s="17" t="s">
        <v>1102</v>
      </c>
      <c r="E32" s="17" t="s">
        <v>0</v>
      </c>
      <c r="F32" s="30">
        <v>26.3</v>
      </c>
      <c r="G32" s="30">
        <v>6</v>
      </c>
      <c r="H32" s="30">
        <v>1977.1</v>
      </c>
    </row>
    <row r="34" spans="1:8" x14ac:dyDescent="0.35">
      <c r="A34" s="33" t="s">
        <v>1093</v>
      </c>
      <c r="B34" s="27"/>
      <c r="C34" s="27"/>
      <c r="D34" s="27"/>
      <c r="E34" s="27"/>
      <c r="F34" s="27"/>
      <c r="G34" s="27"/>
      <c r="H34" s="27"/>
    </row>
    <row r="35" spans="1:8" x14ac:dyDescent="0.35">
      <c r="A35" s="28" t="s">
        <v>1094</v>
      </c>
      <c r="B35" s="27"/>
      <c r="C35" s="27"/>
      <c r="D35" s="27"/>
      <c r="E35" s="27"/>
      <c r="F35" s="27"/>
      <c r="G35" s="27"/>
      <c r="H35" s="27"/>
    </row>
    <row r="37" spans="1:8" x14ac:dyDescent="0.35">
      <c r="A37" s="28" t="s">
        <v>1105</v>
      </c>
    </row>
    <row r="38" spans="1:8" x14ac:dyDescent="0.35">
      <c r="A38" s="28" t="s">
        <v>1096</v>
      </c>
    </row>
    <row r="41" spans="1:8" x14ac:dyDescent="0.35">
      <c r="C41" t="str">
        <f>C26</f>
        <v>Company Name</v>
      </c>
      <c r="D41" t="str">
        <f>G26</f>
        <v>2018 - 2022 CAGR %</v>
      </c>
    </row>
    <row r="42" spans="1:8" x14ac:dyDescent="0.35">
      <c r="C42" t="str">
        <f t="shared" ref="C42:C46" si="1">C27</f>
        <v>Vietnam Dairy Products JSC (Vinamilk)</v>
      </c>
      <c r="D42">
        <f t="shared" ref="D42:D46" si="2">G27</f>
        <v>7</v>
      </c>
    </row>
    <row r="43" spans="1:8" x14ac:dyDescent="0.35">
      <c r="C43" t="str">
        <f t="shared" si="1"/>
        <v>Royal FrieslandCampina NV</v>
      </c>
      <c r="D43">
        <f t="shared" si="2"/>
        <v>-0.5</v>
      </c>
    </row>
    <row r="44" spans="1:8" x14ac:dyDescent="0.35">
      <c r="C44" t="str">
        <f t="shared" si="1"/>
        <v>Nestlé SA</v>
      </c>
      <c r="D44">
        <f t="shared" si="2"/>
        <v>4.3</v>
      </c>
    </row>
    <row r="45" spans="1:8" x14ac:dyDescent="0.35">
      <c r="C45" t="str">
        <f t="shared" si="1"/>
        <v>Nutifood Nutrition Food JSC</v>
      </c>
      <c r="D45">
        <f t="shared" si="2"/>
        <v>37.9</v>
      </c>
    </row>
    <row r="46" spans="1:8" x14ac:dyDescent="0.35">
      <c r="C46" t="str">
        <f t="shared" si="1"/>
        <v>Others</v>
      </c>
      <c r="D46">
        <f t="shared" si="2"/>
        <v>7</v>
      </c>
    </row>
    <row r="47" spans="1:8" x14ac:dyDescent="0.35">
      <c r="C47" t="s">
        <v>1106</v>
      </c>
      <c r="D47">
        <f>AVERAGE(D42:D46)</f>
        <v>11.14</v>
      </c>
    </row>
    <row r="52" spans="1:1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x14ac:dyDescent="0.35">
      <c r="A56" s="31" t="s">
        <v>1107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</row>
    <row r="57" spans="1:11" x14ac:dyDescent="0.35">
      <c r="A57" s="1" t="s">
        <v>173</v>
      </c>
      <c r="B57" s="1" t="s">
        <v>174</v>
      </c>
      <c r="C57" s="1" t="s">
        <v>1108</v>
      </c>
      <c r="D57" s="1" t="s">
        <v>1109</v>
      </c>
      <c r="E57" s="1" t="s">
        <v>1098</v>
      </c>
      <c r="F57" s="1" t="s">
        <v>1083</v>
      </c>
      <c r="G57" s="1" t="s">
        <v>1084</v>
      </c>
      <c r="H57" s="1" t="s">
        <v>1085</v>
      </c>
      <c r="I57" s="1" t="s">
        <v>1086</v>
      </c>
      <c r="J57" s="1" t="s">
        <v>1087</v>
      </c>
      <c r="K57" s="1" t="s">
        <v>1088</v>
      </c>
    </row>
    <row r="58" spans="1:11" x14ac:dyDescent="0.35">
      <c r="A58" s="17" t="s">
        <v>177</v>
      </c>
      <c r="B58" s="18" t="s">
        <v>195</v>
      </c>
      <c r="C58" s="17" t="s">
        <v>1110</v>
      </c>
      <c r="D58" s="17" t="s">
        <v>1089</v>
      </c>
      <c r="E58" s="17" t="s">
        <v>1102</v>
      </c>
      <c r="F58" s="30">
        <v>44.3</v>
      </c>
      <c r="G58" s="30">
        <v>44.9</v>
      </c>
      <c r="H58" s="30">
        <v>46.1</v>
      </c>
      <c r="I58" s="30">
        <v>46.6</v>
      </c>
      <c r="J58" s="30">
        <v>46.8</v>
      </c>
      <c r="K58" s="30">
        <v>47.3</v>
      </c>
    </row>
    <row r="59" spans="1:11" x14ac:dyDescent="0.35">
      <c r="A59" s="17" t="s">
        <v>177</v>
      </c>
      <c r="B59" s="18" t="s">
        <v>195</v>
      </c>
      <c r="C59" s="17" t="s">
        <v>1111</v>
      </c>
      <c r="D59" s="17" t="s">
        <v>1089</v>
      </c>
      <c r="E59" s="17" t="s">
        <v>1102</v>
      </c>
      <c r="F59" s="30">
        <v>35</v>
      </c>
      <c r="G59" s="30">
        <v>35</v>
      </c>
      <c r="H59" s="30">
        <v>35.5</v>
      </c>
      <c r="I59" s="30">
        <v>35.5</v>
      </c>
      <c r="J59" s="30">
        <v>35.4</v>
      </c>
      <c r="K59" s="30">
        <v>35.4</v>
      </c>
    </row>
    <row r="60" spans="1:11" x14ac:dyDescent="0.35">
      <c r="A60" s="17" t="s">
        <v>177</v>
      </c>
      <c r="B60" s="18" t="s">
        <v>195</v>
      </c>
      <c r="C60" s="17" t="s">
        <v>1112</v>
      </c>
      <c r="D60" s="17" t="s">
        <v>1090</v>
      </c>
      <c r="E60" s="17" t="s">
        <v>1102</v>
      </c>
      <c r="F60" s="30">
        <v>8.4</v>
      </c>
      <c r="G60" s="30">
        <v>8.1</v>
      </c>
      <c r="H60" s="30">
        <v>7</v>
      </c>
      <c r="I60" s="30">
        <v>6.9</v>
      </c>
      <c r="J60" s="30">
        <v>6.8</v>
      </c>
      <c r="K60" s="30">
        <v>6.6</v>
      </c>
    </row>
    <row r="61" spans="1:11" x14ac:dyDescent="0.35">
      <c r="A61" s="17" t="s">
        <v>177</v>
      </c>
      <c r="B61" s="18" t="s">
        <v>195</v>
      </c>
      <c r="C61" s="17" t="s">
        <v>1113</v>
      </c>
      <c r="D61" s="17" t="s">
        <v>1090</v>
      </c>
      <c r="E61" s="17" t="s">
        <v>1102</v>
      </c>
      <c r="F61" s="30">
        <v>8.1999999999999993</v>
      </c>
      <c r="G61" s="30">
        <v>7.8</v>
      </c>
      <c r="H61" s="30">
        <v>6.9</v>
      </c>
      <c r="I61" s="30">
        <v>6.3</v>
      </c>
      <c r="J61" s="30">
        <v>6.1</v>
      </c>
      <c r="K61" s="30">
        <v>5.8</v>
      </c>
    </row>
    <row r="62" spans="1:11" x14ac:dyDescent="0.35">
      <c r="A62" s="17" t="s">
        <v>177</v>
      </c>
      <c r="B62" s="18" t="s">
        <v>195</v>
      </c>
      <c r="C62" s="17" t="s">
        <v>1114</v>
      </c>
      <c r="D62" s="17" t="s">
        <v>1091</v>
      </c>
      <c r="E62" s="17" t="s">
        <v>1102</v>
      </c>
      <c r="F62" s="30">
        <v>1.9</v>
      </c>
      <c r="G62" s="30">
        <v>1.9</v>
      </c>
      <c r="H62" s="30">
        <v>1.8</v>
      </c>
      <c r="I62" s="30">
        <v>1.8</v>
      </c>
      <c r="J62" s="30">
        <v>1.8</v>
      </c>
      <c r="K62" s="30">
        <v>1.8</v>
      </c>
    </row>
    <row r="63" spans="1:11" x14ac:dyDescent="0.35">
      <c r="A63" s="17" t="s">
        <v>177</v>
      </c>
      <c r="B63" s="18" t="s">
        <v>195</v>
      </c>
      <c r="C63" s="17" t="s">
        <v>1115</v>
      </c>
      <c r="D63" s="17" t="s">
        <v>1092</v>
      </c>
      <c r="E63" s="17" t="s">
        <v>1102</v>
      </c>
      <c r="F63" s="30">
        <v>0.4</v>
      </c>
      <c r="G63" s="30">
        <v>0.7</v>
      </c>
      <c r="H63" s="30">
        <v>1</v>
      </c>
      <c r="I63" s="30">
        <v>1.2</v>
      </c>
      <c r="J63" s="30">
        <v>1.3</v>
      </c>
      <c r="K63" s="30">
        <v>1.3</v>
      </c>
    </row>
    <row r="64" spans="1:11" x14ac:dyDescent="0.35">
      <c r="A64" s="17" t="s">
        <v>177</v>
      </c>
      <c r="B64" s="18" t="s">
        <v>195</v>
      </c>
      <c r="C64" s="17" t="s">
        <v>130</v>
      </c>
      <c r="D64" s="17" t="s">
        <v>130</v>
      </c>
      <c r="E64" s="17" t="s">
        <v>1102</v>
      </c>
      <c r="F64" s="30">
        <v>1.7</v>
      </c>
      <c r="G64" s="30">
        <v>1.7</v>
      </c>
      <c r="H64" s="30">
        <v>1.7</v>
      </c>
      <c r="I64" s="30">
        <v>1.7</v>
      </c>
      <c r="J64" s="30">
        <v>1.8</v>
      </c>
      <c r="K64" s="30">
        <v>1.8</v>
      </c>
    </row>
    <row r="65" spans="1:19" x14ac:dyDescent="0.35">
      <c r="A65" s="17" t="s">
        <v>177</v>
      </c>
      <c r="B65" s="18" t="s">
        <v>195</v>
      </c>
      <c r="C65" s="17" t="s">
        <v>31</v>
      </c>
      <c r="D65" s="17" t="s">
        <v>31</v>
      </c>
      <c r="E65" s="17" t="s">
        <v>1102</v>
      </c>
      <c r="F65" s="30">
        <v>100</v>
      </c>
      <c r="G65" s="30">
        <v>100</v>
      </c>
      <c r="H65" s="30">
        <v>100</v>
      </c>
      <c r="I65" s="30">
        <v>100</v>
      </c>
      <c r="J65" s="30">
        <v>100</v>
      </c>
      <c r="K65" s="30">
        <v>100</v>
      </c>
    </row>
    <row r="67" spans="1:19" x14ac:dyDescent="0.35">
      <c r="A67" s="33" t="s">
        <v>1093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</row>
    <row r="68" spans="1:19" x14ac:dyDescent="0.35">
      <c r="A68" s="28" t="s">
        <v>1094</v>
      </c>
    </row>
    <row r="70" spans="1:19" x14ac:dyDescent="0.35">
      <c r="A70" s="28" t="s">
        <v>1116</v>
      </c>
      <c r="I70" s="1" t="s">
        <v>173</v>
      </c>
      <c r="J70" s="1" t="s">
        <v>174</v>
      </c>
      <c r="K70" s="1" t="s">
        <v>1098</v>
      </c>
      <c r="L70" s="1" t="s">
        <v>175</v>
      </c>
      <c r="M70" s="1" t="s">
        <v>1117</v>
      </c>
      <c r="N70" s="1" t="s">
        <v>1083</v>
      </c>
      <c r="O70" s="1" t="s">
        <v>1084</v>
      </c>
      <c r="P70" s="1" t="s">
        <v>1085</v>
      </c>
      <c r="Q70" s="1" t="s">
        <v>1086</v>
      </c>
      <c r="R70" s="1" t="s">
        <v>1087</v>
      </c>
      <c r="S70" s="1" t="s">
        <v>1088</v>
      </c>
    </row>
    <row r="71" spans="1:19" x14ac:dyDescent="0.35">
      <c r="A71" s="28" t="s">
        <v>1096</v>
      </c>
      <c r="I71" s="17" t="s">
        <v>177</v>
      </c>
      <c r="J71" s="18" t="s">
        <v>195</v>
      </c>
      <c r="K71" s="17" t="s">
        <v>1102</v>
      </c>
      <c r="L71" s="17" t="s">
        <v>0</v>
      </c>
      <c r="M71" s="17" t="s">
        <v>1118</v>
      </c>
      <c r="N71" s="30">
        <v>7515.4</v>
      </c>
      <c r="O71" s="30">
        <v>8187.9</v>
      </c>
      <c r="P71" s="30">
        <v>8759.2999999999993</v>
      </c>
      <c r="Q71" s="30">
        <v>9022.9</v>
      </c>
      <c r="R71" s="30">
        <v>9492.4</v>
      </c>
      <c r="S71" s="30">
        <v>10078.5</v>
      </c>
    </row>
    <row r="72" spans="1:19" x14ac:dyDescent="0.35">
      <c r="C72" s="1" t="s">
        <v>1108</v>
      </c>
      <c r="D72" t="str">
        <f>F57</f>
        <v>2018</v>
      </c>
      <c r="E72" t="str">
        <f t="shared" ref="E72:G80" si="3">G57</f>
        <v>2019</v>
      </c>
      <c r="F72" t="str">
        <f t="shared" si="3"/>
        <v>2020</v>
      </c>
      <c r="G72" t="str">
        <f t="shared" si="3"/>
        <v>2021</v>
      </c>
      <c r="H72" t="str">
        <f>J57</f>
        <v>2022</v>
      </c>
    </row>
    <row r="73" spans="1:19" x14ac:dyDescent="0.35">
      <c r="C73" s="17" t="s">
        <v>1119</v>
      </c>
      <c r="D73">
        <f t="shared" ref="D73:D80" si="4">F58</f>
        <v>44.3</v>
      </c>
      <c r="E73">
        <f t="shared" si="3"/>
        <v>44.9</v>
      </c>
      <c r="F73">
        <f t="shared" si="3"/>
        <v>46.1</v>
      </c>
      <c r="G73">
        <f t="shared" si="3"/>
        <v>46.6</v>
      </c>
      <c r="H73">
        <f t="shared" ref="H73:H80" si="5">J58</f>
        <v>46.8</v>
      </c>
      <c r="I73" s="1" t="s">
        <v>173</v>
      </c>
      <c r="J73" s="1" t="s">
        <v>174</v>
      </c>
      <c r="K73" s="1" t="s">
        <v>1108</v>
      </c>
      <c r="L73" s="1" t="s">
        <v>1109</v>
      </c>
      <c r="M73" s="1" t="s">
        <v>1098</v>
      </c>
      <c r="N73" s="1" t="s">
        <v>1083</v>
      </c>
      <c r="O73" s="1" t="s">
        <v>1084</v>
      </c>
      <c r="P73" s="1" t="s">
        <v>1085</v>
      </c>
      <c r="Q73" s="1" t="s">
        <v>1086</v>
      </c>
      <c r="R73" s="1" t="s">
        <v>1087</v>
      </c>
      <c r="S73" s="1" t="s">
        <v>1088</v>
      </c>
    </row>
    <row r="74" spans="1:19" x14ac:dyDescent="0.35">
      <c r="C74" s="17" t="s">
        <v>1120</v>
      </c>
      <c r="D74">
        <f t="shared" si="4"/>
        <v>35</v>
      </c>
      <c r="E74">
        <f t="shared" si="3"/>
        <v>35</v>
      </c>
      <c r="F74">
        <f t="shared" si="3"/>
        <v>35.5</v>
      </c>
      <c r="G74">
        <f t="shared" si="3"/>
        <v>35.5</v>
      </c>
      <c r="H74">
        <f t="shared" si="5"/>
        <v>35.4</v>
      </c>
      <c r="I74" s="17" t="s">
        <v>177</v>
      </c>
      <c r="J74" s="18" t="s">
        <v>195</v>
      </c>
      <c r="K74" s="17" t="s">
        <v>1110</v>
      </c>
      <c r="L74" s="17" t="s">
        <v>1089</v>
      </c>
      <c r="M74" s="17" t="s">
        <v>1102</v>
      </c>
      <c r="N74" s="30">
        <v>44.3</v>
      </c>
      <c r="O74" s="30">
        <v>44.9</v>
      </c>
      <c r="P74" s="30">
        <v>46.1</v>
      </c>
      <c r="Q74" s="30">
        <v>46.6</v>
      </c>
      <c r="R74" s="30">
        <v>46.8</v>
      </c>
      <c r="S74" s="30">
        <v>47.3</v>
      </c>
    </row>
    <row r="75" spans="1:19" x14ac:dyDescent="0.35">
      <c r="C75" s="17" t="s">
        <v>1112</v>
      </c>
      <c r="D75">
        <f t="shared" si="4"/>
        <v>8.4</v>
      </c>
      <c r="E75">
        <f t="shared" si="3"/>
        <v>8.1</v>
      </c>
      <c r="F75">
        <f t="shared" si="3"/>
        <v>7</v>
      </c>
      <c r="G75">
        <f t="shared" si="3"/>
        <v>6.9</v>
      </c>
      <c r="H75">
        <f t="shared" si="5"/>
        <v>6.8</v>
      </c>
      <c r="I75" s="17" t="s">
        <v>177</v>
      </c>
      <c r="J75" s="18" t="s">
        <v>195</v>
      </c>
      <c r="K75" s="17" t="s">
        <v>1111</v>
      </c>
      <c r="L75" s="17" t="s">
        <v>1089</v>
      </c>
      <c r="M75" s="17" t="s">
        <v>1102</v>
      </c>
      <c r="N75" s="30">
        <v>35</v>
      </c>
      <c r="O75" s="30">
        <v>35</v>
      </c>
      <c r="P75" s="30">
        <v>35.5</v>
      </c>
      <c r="Q75" s="30">
        <v>35.5</v>
      </c>
      <c r="R75" s="30">
        <v>35.4</v>
      </c>
      <c r="S75" s="30">
        <v>35.4</v>
      </c>
    </row>
    <row r="76" spans="1:19" x14ac:dyDescent="0.35">
      <c r="C76" s="17" t="s">
        <v>1113</v>
      </c>
      <c r="D76">
        <f t="shared" si="4"/>
        <v>8.1999999999999993</v>
      </c>
      <c r="E76">
        <f t="shared" si="3"/>
        <v>7.8</v>
      </c>
      <c r="F76">
        <f t="shared" si="3"/>
        <v>6.9</v>
      </c>
      <c r="G76">
        <f t="shared" si="3"/>
        <v>6.3</v>
      </c>
      <c r="H76">
        <f t="shared" si="5"/>
        <v>6.1</v>
      </c>
      <c r="I76" s="17" t="s">
        <v>177</v>
      </c>
      <c r="J76" s="18" t="s">
        <v>195</v>
      </c>
      <c r="K76" s="17" t="s">
        <v>1112</v>
      </c>
      <c r="L76" s="17" t="s">
        <v>1090</v>
      </c>
      <c r="M76" s="17" t="s">
        <v>1102</v>
      </c>
      <c r="N76" s="30">
        <v>8.4</v>
      </c>
      <c r="O76" s="30">
        <v>8.1</v>
      </c>
      <c r="P76" s="30">
        <v>7</v>
      </c>
      <c r="Q76" s="30">
        <v>6.9</v>
      </c>
      <c r="R76" s="30">
        <v>6.8</v>
      </c>
      <c r="S76" s="30">
        <v>6.6</v>
      </c>
    </row>
    <row r="77" spans="1:19" x14ac:dyDescent="0.35">
      <c r="C77" s="17" t="s">
        <v>1114</v>
      </c>
      <c r="D77">
        <f t="shared" si="4"/>
        <v>1.9</v>
      </c>
      <c r="E77">
        <f t="shared" si="3"/>
        <v>1.9</v>
      </c>
      <c r="F77">
        <f t="shared" si="3"/>
        <v>1.8</v>
      </c>
      <c r="G77">
        <f t="shared" si="3"/>
        <v>1.8</v>
      </c>
      <c r="H77">
        <f t="shared" si="5"/>
        <v>1.8</v>
      </c>
      <c r="I77" s="17" t="s">
        <v>177</v>
      </c>
      <c r="J77" s="18" t="s">
        <v>195</v>
      </c>
      <c r="K77" s="17" t="s">
        <v>1113</v>
      </c>
      <c r="L77" s="17" t="s">
        <v>1090</v>
      </c>
      <c r="M77" s="17" t="s">
        <v>1102</v>
      </c>
      <c r="N77" s="30">
        <v>8.1999999999999993</v>
      </c>
      <c r="O77" s="30">
        <v>7.8</v>
      </c>
      <c r="P77" s="30">
        <v>6.9</v>
      </c>
      <c r="Q77" s="30">
        <v>6.3</v>
      </c>
      <c r="R77" s="30">
        <v>6.1</v>
      </c>
      <c r="S77" s="30">
        <v>5.8</v>
      </c>
    </row>
    <row r="78" spans="1:19" x14ac:dyDescent="0.35">
      <c r="C78" s="17" t="s">
        <v>1115</v>
      </c>
      <c r="D78">
        <f t="shared" si="4"/>
        <v>0.4</v>
      </c>
      <c r="E78">
        <f t="shared" si="3"/>
        <v>0.7</v>
      </c>
      <c r="F78">
        <f t="shared" si="3"/>
        <v>1</v>
      </c>
      <c r="G78">
        <f t="shared" si="3"/>
        <v>1.2</v>
      </c>
      <c r="H78">
        <f t="shared" si="5"/>
        <v>1.3</v>
      </c>
      <c r="I78" s="17" t="s">
        <v>177</v>
      </c>
      <c r="J78" s="18" t="s">
        <v>195</v>
      </c>
      <c r="K78" s="17" t="s">
        <v>1114</v>
      </c>
      <c r="L78" s="17" t="s">
        <v>1091</v>
      </c>
      <c r="M78" s="17" t="s">
        <v>1102</v>
      </c>
      <c r="N78" s="30">
        <v>1.9</v>
      </c>
      <c r="O78" s="30">
        <v>1.9</v>
      </c>
      <c r="P78" s="30">
        <v>1.8</v>
      </c>
      <c r="Q78" s="30">
        <v>1.8</v>
      </c>
      <c r="R78" s="30">
        <v>1.8</v>
      </c>
      <c r="S78" s="30">
        <v>1.8</v>
      </c>
    </row>
    <row r="79" spans="1:19" x14ac:dyDescent="0.35">
      <c r="C79" s="17" t="s">
        <v>130</v>
      </c>
      <c r="D79">
        <f t="shared" si="4"/>
        <v>1.7</v>
      </c>
      <c r="E79">
        <f t="shared" si="3"/>
        <v>1.7</v>
      </c>
      <c r="F79">
        <f t="shared" si="3"/>
        <v>1.7</v>
      </c>
      <c r="G79">
        <f t="shared" si="3"/>
        <v>1.7</v>
      </c>
      <c r="H79">
        <f t="shared" si="5"/>
        <v>1.8</v>
      </c>
      <c r="I79" s="17" t="s">
        <v>177</v>
      </c>
      <c r="J79" s="18" t="s">
        <v>195</v>
      </c>
      <c r="K79" s="17" t="s">
        <v>1115</v>
      </c>
      <c r="L79" s="17" t="s">
        <v>1092</v>
      </c>
      <c r="M79" s="17" t="s">
        <v>1102</v>
      </c>
      <c r="N79" s="30">
        <v>0.4</v>
      </c>
      <c r="O79" s="30">
        <v>0.7</v>
      </c>
      <c r="P79" s="30">
        <v>1</v>
      </c>
      <c r="Q79" s="30">
        <v>1.2</v>
      </c>
      <c r="R79" s="30">
        <v>1.3</v>
      </c>
      <c r="S79" s="30">
        <v>1.3</v>
      </c>
    </row>
    <row r="80" spans="1:19" x14ac:dyDescent="0.35">
      <c r="C80" s="17" t="s">
        <v>31</v>
      </c>
      <c r="D80">
        <f t="shared" si="4"/>
        <v>100</v>
      </c>
      <c r="E80">
        <f t="shared" si="3"/>
        <v>100</v>
      </c>
      <c r="F80">
        <f t="shared" si="3"/>
        <v>100</v>
      </c>
      <c r="G80">
        <f t="shared" si="3"/>
        <v>100</v>
      </c>
      <c r="H80">
        <f t="shared" si="5"/>
        <v>100</v>
      </c>
      <c r="I80" s="17" t="s">
        <v>177</v>
      </c>
      <c r="J80" s="18" t="s">
        <v>195</v>
      </c>
      <c r="K80" s="17" t="s">
        <v>130</v>
      </c>
      <c r="L80" s="17" t="s">
        <v>130</v>
      </c>
      <c r="M80" s="17" t="s">
        <v>1102</v>
      </c>
      <c r="N80" s="30">
        <v>1.7</v>
      </c>
      <c r="O80" s="30">
        <v>1.7</v>
      </c>
      <c r="P80" s="30">
        <v>1.7</v>
      </c>
      <c r="Q80" s="30">
        <v>1.7</v>
      </c>
      <c r="R80" s="30">
        <v>1.8</v>
      </c>
      <c r="S80" s="30">
        <v>1.8</v>
      </c>
    </row>
    <row r="81" spans="9:19" x14ac:dyDescent="0.35">
      <c r="I81" s="17" t="s">
        <v>177</v>
      </c>
      <c r="J81" s="18" t="s">
        <v>195</v>
      </c>
      <c r="K81" s="17" t="s">
        <v>31</v>
      </c>
      <c r="L81" s="17" t="s">
        <v>31</v>
      </c>
      <c r="M81" s="17" t="s">
        <v>1102</v>
      </c>
      <c r="N81" s="30">
        <v>100</v>
      </c>
      <c r="O81" s="30">
        <v>100</v>
      </c>
      <c r="P81" s="30">
        <v>100</v>
      </c>
      <c r="Q81" s="30">
        <v>100</v>
      </c>
      <c r="R81" s="30">
        <v>100</v>
      </c>
      <c r="S81" s="30">
        <v>100</v>
      </c>
    </row>
    <row r="84" spans="9:19" x14ac:dyDescent="0.35">
      <c r="L84" s="129"/>
      <c r="M84" s="129" t="s">
        <v>3</v>
      </c>
      <c r="N84" s="129" t="str">
        <f>N73</f>
        <v>2018</v>
      </c>
      <c r="O84" s="129" t="str">
        <f t="shared" ref="O84:R84" si="6">O73</f>
        <v>2019</v>
      </c>
      <c r="P84" s="129" t="str">
        <f t="shared" si="6"/>
        <v>2020</v>
      </c>
      <c r="Q84" s="129" t="str">
        <f t="shared" si="6"/>
        <v>2021</v>
      </c>
      <c r="R84" s="129" t="str">
        <f t="shared" si="6"/>
        <v>2022</v>
      </c>
    </row>
    <row r="85" spans="9:19" x14ac:dyDescent="0.35">
      <c r="L85" s="552" t="str">
        <f>L74</f>
        <v>Vietnam Dairy Products JSC (Vinamilk)</v>
      </c>
      <c r="M85" s="128" t="s">
        <v>1121</v>
      </c>
      <c r="N85" s="131">
        <f>N74*$N$71/100</f>
        <v>3329.3221999999996</v>
      </c>
      <c r="O85" s="131">
        <f>O74*O71/100</f>
        <v>3676.3670999999995</v>
      </c>
      <c r="P85" s="131">
        <f>P74*P71/100</f>
        <v>4038.0373</v>
      </c>
      <c r="Q85" s="131">
        <f>Q74*Q71/100</f>
        <v>4204.6714000000002</v>
      </c>
      <c r="R85" s="131">
        <f>R74*R71/100</f>
        <v>4442.4431999999997</v>
      </c>
    </row>
    <row r="86" spans="9:19" x14ac:dyDescent="0.35">
      <c r="L86" s="552"/>
      <c r="M86" s="128" t="s">
        <v>1122</v>
      </c>
      <c r="N86" s="131">
        <f>N75*$N$71/100</f>
        <v>2630.39</v>
      </c>
      <c r="O86" s="131">
        <f>O75*O71/100</f>
        <v>2865.7649999999999</v>
      </c>
      <c r="P86" s="131">
        <f>P75*$P$71/100</f>
        <v>3109.5514999999996</v>
      </c>
      <c r="Q86" s="131">
        <f>Q75*$Q$71/100</f>
        <v>3203.1295</v>
      </c>
      <c r="R86" s="131">
        <f>R75*$R$71/100</f>
        <v>3360.3095999999996</v>
      </c>
    </row>
    <row r="87" spans="9:19" x14ac:dyDescent="0.35">
      <c r="L87" s="552" t="str">
        <f>L76</f>
        <v>FrieslandCampina Vietnam Co Ltd</v>
      </c>
      <c r="M87" s="128" t="s">
        <v>1123</v>
      </c>
      <c r="N87" s="131">
        <f>N76*$N$71/100</f>
        <v>631.29359999999997</v>
      </c>
      <c r="O87" s="131">
        <f>O76*O71/100</f>
        <v>663.21989999999994</v>
      </c>
      <c r="P87" s="131">
        <f>P76*$P$71/100</f>
        <v>613.15099999999995</v>
      </c>
      <c r="Q87" s="131">
        <f>Q76*$Q$71/100</f>
        <v>622.58010000000002</v>
      </c>
      <c r="R87" s="131">
        <f>R76*$R$71/100</f>
        <v>645.4831999999999</v>
      </c>
    </row>
    <row r="88" spans="9:19" x14ac:dyDescent="0.35">
      <c r="L88" s="552"/>
      <c r="M88" s="128" t="s">
        <v>1124</v>
      </c>
      <c r="N88" s="131">
        <f>N77*$N$71/100</f>
        <v>616.26279999999997</v>
      </c>
      <c r="O88" s="131">
        <f>O77*$O$71/100</f>
        <v>638.6561999999999</v>
      </c>
      <c r="P88" s="131">
        <f>P77*$P$71/100</f>
        <v>604.39170000000001</v>
      </c>
      <c r="Q88" s="131">
        <f>Q77*$Q$71/100</f>
        <v>568.44269999999995</v>
      </c>
      <c r="R88" s="131">
        <f>R77*$R$71/100</f>
        <v>579.03639999999996</v>
      </c>
    </row>
    <row r="89" spans="9:19" x14ac:dyDescent="0.35">
      <c r="L89" s="553" t="s">
        <v>1125</v>
      </c>
      <c r="M89" s="130" t="s">
        <v>1126</v>
      </c>
      <c r="N89">
        <v>1</v>
      </c>
      <c r="O89">
        <v>2</v>
      </c>
      <c r="P89">
        <v>3</v>
      </c>
      <c r="Q89">
        <v>4</v>
      </c>
      <c r="R89">
        <v>5</v>
      </c>
    </row>
    <row r="90" spans="9:19" x14ac:dyDescent="0.35">
      <c r="L90" s="554"/>
      <c r="M90" s="130" t="s">
        <v>1127</v>
      </c>
      <c r="N90">
        <v>2</v>
      </c>
      <c r="O90">
        <v>3</v>
      </c>
      <c r="P90">
        <v>4</v>
      </c>
      <c r="Q90">
        <v>5</v>
      </c>
      <c r="R90">
        <v>5</v>
      </c>
    </row>
    <row r="92" spans="9:19" x14ac:dyDescent="0.35">
      <c r="N92">
        <f>(R85-N85)/R85</f>
        <v>0.2505650494304576</v>
      </c>
    </row>
    <row r="93" spans="9:19" x14ac:dyDescent="0.35">
      <c r="N93">
        <f>(R86-N86)/R86</f>
        <v>0.21721796110691699</v>
      </c>
    </row>
  </sheetData>
  <mergeCells count="3">
    <mergeCell ref="L85:L86"/>
    <mergeCell ref="L87:L88"/>
    <mergeCell ref="L89:L9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8E4F-8762-43DC-9C86-0BD1F7AF09FD}">
  <dimension ref="A1:K105"/>
  <sheetViews>
    <sheetView topLeftCell="B2" workbookViewId="0">
      <selection activeCell="B43" sqref="B43"/>
    </sheetView>
  </sheetViews>
  <sheetFormatPr defaultColWidth="9.1796875" defaultRowHeight="14.5" x14ac:dyDescent="0.35"/>
  <cols>
    <col min="1" max="1" width="78.453125" style="143" bestFit="1" customWidth="1"/>
    <col min="2" max="16384" width="9.1796875" style="143"/>
  </cols>
  <sheetData>
    <row r="1" spans="1:11" x14ac:dyDescent="0.35">
      <c r="A1" s="136" t="s">
        <v>23</v>
      </c>
      <c r="B1" s="136"/>
      <c r="C1" s="136"/>
      <c r="D1" s="136"/>
      <c r="E1" s="136"/>
      <c r="F1" s="136"/>
      <c r="G1" s="136"/>
      <c r="H1" s="136" t="s">
        <v>1128</v>
      </c>
      <c r="I1" s="136"/>
      <c r="J1" s="136"/>
      <c r="K1" s="137"/>
    </row>
    <row r="2" spans="1:11" ht="16.5" x14ac:dyDescent="0.55000000000000004">
      <c r="A2" s="138" t="s">
        <v>1129</v>
      </c>
      <c r="B2" s="139" t="s">
        <v>1130</v>
      </c>
      <c r="C2" s="139" t="s">
        <v>1131</v>
      </c>
      <c r="D2" s="139" t="s">
        <v>1132</v>
      </c>
      <c r="E2" s="139" t="s">
        <v>1131</v>
      </c>
      <c r="F2" s="139" t="s">
        <v>1133</v>
      </c>
      <c r="G2" s="139" t="s">
        <v>1131</v>
      </c>
      <c r="H2" s="139" t="s">
        <v>1134</v>
      </c>
      <c r="I2" s="139" t="s">
        <v>1131</v>
      </c>
      <c r="J2" s="139" t="s">
        <v>1135</v>
      </c>
      <c r="K2" s="139" t="s">
        <v>1131</v>
      </c>
    </row>
    <row r="3" spans="1:11" x14ac:dyDescent="0.35">
      <c r="A3" s="140" t="s">
        <v>1136</v>
      </c>
      <c r="B3" s="141" t="s">
        <v>1137</v>
      </c>
      <c r="C3" s="141">
        <v>550</v>
      </c>
      <c r="D3" s="141" t="s">
        <v>1138</v>
      </c>
      <c r="E3" s="141">
        <v>563</v>
      </c>
      <c r="F3" s="141" t="s">
        <v>1137</v>
      </c>
      <c r="G3" s="141">
        <v>568</v>
      </c>
      <c r="H3" s="141" t="s">
        <v>1139</v>
      </c>
      <c r="I3" s="141">
        <v>554</v>
      </c>
      <c r="J3" s="141" t="s">
        <v>1140</v>
      </c>
      <c r="K3" s="141">
        <v>581</v>
      </c>
    </row>
    <row r="4" spans="1:11" x14ac:dyDescent="0.35">
      <c r="A4" s="140" t="s">
        <v>1141</v>
      </c>
      <c r="B4" s="141" t="s">
        <v>1142</v>
      </c>
      <c r="C4" s="141">
        <v>472</v>
      </c>
      <c r="D4" s="141" t="s">
        <v>1143</v>
      </c>
      <c r="E4" s="141">
        <v>493</v>
      </c>
      <c r="F4" s="141" t="s">
        <v>1144</v>
      </c>
      <c r="G4" s="141">
        <v>505</v>
      </c>
      <c r="H4" s="141" t="s">
        <v>1145</v>
      </c>
      <c r="I4" s="141">
        <v>494</v>
      </c>
      <c r="J4" s="141" t="s">
        <v>1146</v>
      </c>
      <c r="K4" s="141">
        <v>509</v>
      </c>
    </row>
    <row r="5" spans="1:11" x14ac:dyDescent="0.35">
      <c r="A5" s="140" t="s">
        <v>1147</v>
      </c>
      <c r="B5" s="141" t="s">
        <v>1148</v>
      </c>
      <c r="C5" s="141">
        <v>437</v>
      </c>
      <c r="D5" s="141" t="s">
        <v>1149</v>
      </c>
      <c r="E5" s="141">
        <v>455</v>
      </c>
      <c r="F5" s="141" t="s">
        <v>1150</v>
      </c>
      <c r="G5" s="141">
        <v>462</v>
      </c>
      <c r="H5" s="141" t="s">
        <v>1151</v>
      </c>
      <c r="I5" s="141">
        <v>440</v>
      </c>
      <c r="J5" s="141" t="s">
        <v>1152</v>
      </c>
      <c r="K5" s="141">
        <v>456</v>
      </c>
    </row>
    <row r="6" spans="1:11" x14ac:dyDescent="0.35">
      <c r="A6" s="140" t="s">
        <v>1153</v>
      </c>
      <c r="B6" s="141" t="s">
        <v>1154</v>
      </c>
      <c r="C6" s="141">
        <v>439</v>
      </c>
      <c r="D6" s="141" t="s">
        <v>1155</v>
      </c>
      <c r="E6" s="141">
        <v>443</v>
      </c>
      <c r="F6" s="141" t="s">
        <v>1156</v>
      </c>
      <c r="G6" s="141">
        <v>464</v>
      </c>
      <c r="H6" s="141" t="s">
        <v>1157</v>
      </c>
      <c r="I6" s="141">
        <v>429</v>
      </c>
      <c r="J6" s="141" t="s">
        <v>1158</v>
      </c>
      <c r="K6" s="141">
        <v>446</v>
      </c>
    </row>
    <row r="7" spans="1:11" x14ac:dyDescent="0.35">
      <c r="A7" s="140" t="s">
        <v>1159</v>
      </c>
      <c r="B7" s="141" t="s">
        <v>1160</v>
      </c>
      <c r="C7" s="141">
        <v>444</v>
      </c>
      <c r="D7" s="141" t="s">
        <v>1161</v>
      </c>
      <c r="E7" s="141">
        <v>452</v>
      </c>
      <c r="F7" s="141" t="s">
        <v>1162</v>
      </c>
      <c r="G7" s="141">
        <v>454</v>
      </c>
      <c r="H7" s="141" t="s">
        <v>1163</v>
      </c>
      <c r="I7" s="141">
        <v>446</v>
      </c>
      <c r="J7" s="141" t="s">
        <v>1164</v>
      </c>
      <c r="K7" s="141">
        <v>539</v>
      </c>
    </row>
    <row r="8" spans="1:11" x14ac:dyDescent="0.35">
      <c r="A8" s="140" t="s">
        <v>1165</v>
      </c>
      <c r="B8" s="141" t="s">
        <v>1166</v>
      </c>
      <c r="C8" s="141">
        <v>439</v>
      </c>
      <c r="D8" s="141" t="s">
        <v>1167</v>
      </c>
      <c r="E8" s="141">
        <v>443</v>
      </c>
      <c r="F8" s="141" t="s">
        <v>1161</v>
      </c>
      <c r="G8" s="141">
        <v>448</v>
      </c>
      <c r="H8" s="141" t="s">
        <v>1160</v>
      </c>
      <c r="I8" s="141">
        <v>441</v>
      </c>
      <c r="J8" s="141" t="s">
        <v>1162</v>
      </c>
      <c r="K8" s="141">
        <v>535</v>
      </c>
    </row>
    <row r="9" spans="1:11" x14ac:dyDescent="0.35">
      <c r="A9" s="142" t="s">
        <v>836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</row>
    <row r="10" spans="1:11" x14ac:dyDescent="0.35">
      <c r="A10" s="140" t="s">
        <v>1168</v>
      </c>
      <c r="B10" s="141" t="s">
        <v>1169</v>
      </c>
      <c r="C10" s="141">
        <v>477</v>
      </c>
      <c r="D10" s="141" t="s">
        <v>1170</v>
      </c>
      <c r="E10" s="141">
        <v>485</v>
      </c>
      <c r="F10" s="141" t="s">
        <v>1171</v>
      </c>
      <c r="G10" s="141">
        <v>486</v>
      </c>
      <c r="H10" s="141" t="s">
        <v>1172</v>
      </c>
      <c r="I10" s="141">
        <v>476</v>
      </c>
      <c r="J10" s="141" t="s">
        <v>1172</v>
      </c>
      <c r="K10" s="141">
        <v>590</v>
      </c>
    </row>
    <row r="11" spans="1:11" x14ac:dyDescent="0.35">
      <c r="A11" s="140" t="s">
        <v>1173</v>
      </c>
      <c r="B11" s="141" t="s">
        <v>1174</v>
      </c>
      <c r="C11" s="141">
        <v>480</v>
      </c>
      <c r="D11" s="141" t="s">
        <v>1175</v>
      </c>
      <c r="E11" s="141">
        <v>488</v>
      </c>
      <c r="F11" s="141" t="s">
        <v>1176</v>
      </c>
      <c r="G11" s="141">
        <v>489</v>
      </c>
      <c r="H11" s="141" t="s">
        <v>1177</v>
      </c>
      <c r="I11" s="141">
        <v>479</v>
      </c>
      <c r="J11" s="141" t="s">
        <v>1177</v>
      </c>
      <c r="K11" s="141">
        <v>593</v>
      </c>
    </row>
    <row r="12" spans="1:11" x14ac:dyDescent="0.35">
      <c r="A12" s="140" t="s">
        <v>1178</v>
      </c>
      <c r="B12" s="141" t="s">
        <v>1179</v>
      </c>
      <c r="C12" s="141">
        <v>480</v>
      </c>
      <c r="D12" s="141" t="s">
        <v>1180</v>
      </c>
      <c r="E12" s="141">
        <v>488</v>
      </c>
      <c r="F12" s="141" t="s">
        <v>1181</v>
      </c>
      <c r="G12" s="141">
        <v>489</v>
      </c>
      <c r="H12" s="141" t="s">
        <v>1182</v>
      </c>
      <c r="I12" s="141">
        <v>479</v>
      </c>
      <c r="J12" s="141" t="s">
        <v>1183</v>
      </c>
      <c r="K12" s="141">
        <v>593</v>
      </c>
    </row>
    <row r="13" spans="1:11" x14ac:dyDescent="0.35">
      <c r="A13" s="142" t="s">
        <v>1184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</row>
    <row r="14" spans="1:11" x14ac:dyDescent="0.35">
      <c r="A14" s="140" t="s">
        <v>1185</v>
      </c>
      <c r="B14" s="141">
        <v>0.26300000000000001</v>
      </c>
      <c r="C14" s="141">
        <v>593</v>
      </c>
      <c r="D14" s="141">
        <v>0.27300000000000002</v>
      </c>
      <c r="E14" s="141">
        <v>598</v>
      </c>
      <c r="F14" s="141">
        <v>0.26800000000000002</v>
      </c>
      <c r="G14" s="141">
        <v>599</v>
      </c>
      <c r="H14" s="141">
        <v>0.249</v>
      </c>
      <c r="I14" s="141">
        <v>582</v>
      </c>
      <c r="J14" s="141">
        <v>24.4</v>
      </c>
      <c r="K14" s="141">
        <v>613</v>
      </c>
    </row>
    <row r="15" spans="1:11" x14ac:dyDescent="0.35">
      <c r="A15" s="140" t="s">
        <v>1186</v>
      </c>
      <c r="B15" s="141" t="s">
        <v>1187</v>
      </c>
      <c r="C15" s="141">
        <v>592</v>
      </c>
      <c r="D15" s="141" t="s">
        <v>1188</v>
      </c>
      <c r="E15" s="141">
        <v>597</v>
      </c>
      <c r="F15" s="141" t="s">
        <v>1189</v>
      </c>
      <c r="G15" s="141">
        <v>598</v>
      </c>
      <c r="H15" s="141" t="s">
        <v>1190</v>
      </c>
      <c r="I15" s="141">
        <v>581</v>
      </c>
      <c r="J15" s="141" t="s">
        <v>1191</v>
      </c>
      <c r="K15" s="141">
        <v>611</v>
      </c>
    </row>
    <row r="16" spans="1:11" x14ac:dyDescent="0.35">
      <c r="A16" s="140" t="s">
        <v>1192</v>
      </c>
      <c r="B16" s="141" t="s">
        <v>1189</v>
      </c>
      <c r="C16" s="141">
        <v>580</v>
      </c>
      <c r="D16" s="141" t="s">
        <v>1193</v>
      </c>
      <c r="E16" s="141">
        <v>588</v>
      </c>
      <c r="F16" s="141" t="s">
        <v>1194</v>
      </c>
      <c r="G16" s="141">
        <v>590</v>
      </c>
      <c r="H16" s="141" t="s">
        <v>1195</v>
      </c>
      <c r="I16" s="141">
        <v>573</v>
      </c>
      <c r="J16" s="141" t="s">
        <v>1196</v>
      </c>
      <c r="K16" s="141">
        <v>599</v>
      </c>
    </row>
    <row r="17" spans="1:11" x14ac:dyDescent="0.35">
      <c r="A17" s="140" t="s">
        <v>1197</v>
      </c>
      <c r="B17" s="141" t="s">
        <v>1198</v>
      </c>
      <c r="C17" s="141">
        <v>593</v>
      </c>
      <c r="D17" s="141" t="s">
        <v>1199</v>
      </c>
      <c r="E17" s="141">
        <v>598</v>
      </c>
      <c r="F17" s="141" t="s">
        <v>1200</v>
      </c>
      <c r="G17" s="141">
        <v>599</v>
      </c>
      <c r="H17" s="141" t="s">
        <v>1201</v>
      </c>
      <c r="I17" s="141">
        <v>582</v>
      </c>
      <c r="J17" s="141" t="s">
        <v>1202</v>
      </c>
      <c r="K17" s="141">
        <v>613</v>
      </c>
    </row>
    <row r="18" spans="1:11" x14ac:dyDescent="0.35">
      <c r="A18" s="140" t="s">
        <v>1203</v>
      </c>
      <c r="B18" s="141">
        <f>10.5/100</f>
        <v>0.105</v>
      </c>
      <c r="C18" s="141">
        <v>593</v>
      </c>
      <c r="D18" s="141">
        <f>11.3/100</f>
        <v>0.113</v>
      </c>
      <c r="E18" s="141">
        <v>598</v>
      </c>
      <c r="F18" s="141">
        <f>11.7/100</f>
        <v>0.11699999999999999</v>
      </c>
      <c r="G18" s="141">
        <v>599</v>
      </c>
      <c r="H18" s="141">
        <f>11/100</f>
        <v>0.11</v>
      </c>
      <c r="I18" s="141">
        <v>582</v>
      </c>
      <c r="J18" s="141" t="s">
        <v>1202</v>
      </c>
      <c r="K18" s="141">
        <v>613</v>
      </c>
    </row>
    <row r="19" spans="1:11" x14ac:dyDescent="0.35">
      <c r="A19" s="140" t="s">
        <v>1204</v>
      </c>
      <c r="B19" s="141" t="s">
        <v>1205</v>
      </c>
      <c r="C19" s="141">
        <v>593</v>
      </c>
      <c r="D19" s="141" t="s">
        <v>1206</v>
      </c>
      <c r="E19" s="141">
        <v>598</v>
      </c>
      <c r="F19" s="141" t="s">
        <v>1207</v>
      </c>
      <c r="G19" s="141">
        <v>599</v>
      </c>
      <c r="H19" s="141" t="s">
        <v>1208</v>
      </c>
      <c r="I19" s="141">
        <v>582</v>
      </c>
      <c r="J19" s="141" t="s">
        <v>1209</v>
      </c>
      <c r="K19" s="141">
        <v>613</v>
      </c>
    </row>
    <row r="20" spans="1:11" x14ac:dyDescent="0.35">
      <c r="A20" s="140" t="s">
        <v>1210</v>
      </c>
      <c r="B20" s="141" t="s">
        <v>1211</v>
      </c>
      <c r="C20" s="141">
        <v>593</v>
      </c>
      <c r="D20" s="141" t="s">
        <v>1212</v>
      </c>
      <c r="E20" s="141">
        <v>598</v>
      </c>
      <c r="F20" s="141" t="s">
        <v>1209</v>
      </c>
      <c r="G20" s="141">
        <v>599</v>
      </c>
      <c r="H20" s="141" t="s">
        <v>1213</v>
      </c>
      <c r="I20" s="141">
        <v>582</v>
      </c>
      <c r="J20" s="141" t="s">
        <v>1214</v>
      </c>
      <c r="K20" s="141">
        <v>613</v>
      </c>
    </row>
    <row r="21" spans="1:11" x14ac:dyDescent="0.35">
      <c r="A21" s="140" t="s">
        <v>1215</v>
      </c>
      <c r="B21" s="141" t="s">
        <v>1214</v>
      </c>
      <c r="C21" s="141">
        <v>593</v>
      </c>
      <c r="D21" s="141" t="s">
        <v>1216</v>
      </c>
      <c r="E21" s="141">
        <v>598</v>
      </c>
      <c r="F21" s="141" t="s">
        <v>1217</v>
      </c>
      <c r="G21" s="141">
        <v>599</v>
      </c>
      <c r="H21" s="141" t="s">
        <v>1218</v>
      </c>
      <c r="I21" s="141">
        <v>582</v>
      </c>
      <c r="J21" s="141" t="s">
        <v>1219</v>
      </c>
      <c r="K21" s="141">
        <v>613</v>
      </c>
    </row>
    <row r="22" spans="1:11" x14ac:dyDescent="0.35">
      <c r="A22" s="140" t="s">
        <v>1220</v>
      </c>
      <c r="B22" s="141" t="s">
        <v>1221</v>
      </c>
      <c r="C22" s="141">
        <v>593</v>
      </c>
      <c r="D22" s="141" t="s">
        <v>1222</v>
      </c>
      <c r="E22" s="141">
        <v>598</v>
      </c>
      <c r="F22" s="141" t="s">
        <v>1221</v>
      </c>
      <c r="G22" s="141">
        <v>599</v>
      </c>
      <c r="H22" s="141" t="s">
        <v>1176</v>
      </c>
      <c r="I22" s="141">
        <v>582</v>
      </c>
      <c r="J22" s="141" t="s">
        <v>1223</v>
      </c>
      <c r="K22" s="141">
        <v>613</v>
      </c>
    </row>
    <row r="23" spans="1:11" x14ac:dyDescent="0.35">
      <c r="A23" s="140" t="s">
        <v>1224</v>
      </c>
      <c r="B23" s="141" t="s">
        <v>1205</v>
      </c>
      <c r="C23" s="141">
        <v>400</v>
      </c>
      <c r="D23" s="141" t="s">
        <v>1177</v>
      </c>
      <c r="E23" s="141">
        <v>410</v>
      </c>
      <c r="F23" s="141" t="s">
        <v>1223</v>
      </c>
      <c r="G23" s="141">
        <v>410</v>
      </c>
      <c r="H23" s="141" t="s">
        <v>1225</v>
      </c>
      <c r="I23" s="141">
        <v>402</v>
      </c>
      <c r="J23" s="141" t="s">
        <v>1226</v>
      </c>
      <c r="K23" s="141">
        <v>535</v>
      </c>
    </row>
    <row r="24" spans="1:11" x14ac:dyDescent="0.35">
      <c r="A24" s="140" t="s">
        <v>1227</v>
      </c>
      <c r="B24" s="141" t="s">
        <v>1183</v>
      </c>
      <c r="C24" s="141">
        <v>400</v>
      </c>
      <c r="D24" s="141" t="s">
        <v>1221</v>
      </c>
      <c r="E24" s="141">
        <v>410</v>
      </c>
      <c r="F24" s="141" t="s">
        <v>1228</v>
      </c>
      <c r="G24" s="141">
        <v>410</v>
      </c>
      <c r="H24" s="141" t="s">
        <v>1229</v>
      </c>
      <c r="I24" s="141">
        <v>402</v>
      </c>
      <c r="J24" s="141" t="s">
        <v>1214</v>
      </c>
      <c r="K24" s="141">
        <v>535</v>
      </c>
    </row>
    <row r="25" spans="1:11" x14ac:dyDescent="0.35">
      <c r="A25" s="142" t="s">
        <v>867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</row>
    <row r="26" spans="1:11" x14ac:dyDescent="0.35">
      <c r="A26" s="140" t="s">
        <v>1230</v>
      </c>
      <c r="B26" s="141" t="s">
        <v>1231</v>
      </c>
      <c r="C26" s="141">
        <v>478</v>
      </c>
      <c r="D26" s="141" t="s">
        <v>1231</v>
      </c>
      <c r="E26" s="141">
        <v>484</v>
      </c>
      <c r="F26" s="141" t="s">
        <v>1231</v>
      </c>
      <c r="G26" s="141">
        <v>484</v>
      </c>
      <c r="H26" s="141" t="s">
        <v>1231</v>
      </c>
      <c r="I26" s="141">
        <v>476</v>
      </c>
      <c r="J26" s="141" t="s">
        <v>1231</v>
      </c>
      <c r="K26" s="141">
        <v>584</v>
      </c>
    </row>
    <row r="27" spans="1:11" x14ac:dyDescent="0.35">
      <c r="A27" s="140" t="s">
        <v>958</v>
      </c>
      <c r="B27" s="141" t="s">
        <v>1161</v>
      </c>
      <c r="C27" s="141">
        <v>477</v>
      </c>
      <c r="D27" s="141" t="s">
        <v>1161</v>
      </c>
      <c r="E27" s="141">
        <v>483</v>
      </c>
      <c r="F27" s="141" t="s">
        <v>1161</v>
      </c>
      <c r="G27" s="141">
        <v>483</v>
      </c>
      <c r="H27" s="141" t="s">
        <v>1166</v>
      </c>
      <c r="I27" s="141">
        <v>475</v>
      </c>
      <c r="J27" s="141" t="s">
        <v>1166</v>
      </c>
      <c r="K27" s="141">
        <v>578</v>
      </c>
    </row>
    <row r="28" spans="1:11" x14ac:dyDescent="0.35">
      <c r="A28" s="140" t="s">
        <v>1232</v>
      </c>
      <c r="B28" s="141" t="s">
        <v>1233</v>
      </c>
      <c r="C28" s="141">
        <v>471</v>
      </c>
      <c r="D28" s="141" t="s">
        <v>1234</v>
      </c>
      <c r="E28" s="141">
        <v>478</v>
      </c>
      <c r="F28" s="141" t="s">
        <v>1235</v>
      </c>
      <c r="G28" s="141">
        <v>480</v>
      </c>
      <c r="H28" s="141" t="s">
        <v>1234</v>
      </c>
      <c r="I28" s="141">
        <v>473</v>
      </c>
      <c r="J28" s="141" t="s">
        <v>1236</v>
      </c>
      <c r="K28" s="141">
        <v>572</v>
      </c>
    </row>
    <row r="29" spans="1:11" x14ac:dyDescent="0.35">
      <c r="A29" s="140" t="s">
        <v>1237</v>
      </c>
      <c r="B29" s="141" t="s">
        <v>1238</v>
      </c>
      <c r="C29" s="141">
        <v>472</v>
      </c>
      <c r="D29" s="141" t="s">
        <v>1239</v>
      </c>
      <c r="E29" s="141">
        <v>475</v>
      </c>
      <c r="F29" s="141" t="s">
        <v>1240</v>
      </c>
      <c r="G29" s="141">
        <v>481</v>
      </c>
      <c r="H29" s="141" t="s">
        <v>1241</v>
      </c>
      <c r="I29" s="141">
        <v>472</v>
      </c>
      <c r="J29" s="141" t="s">
        <v>1240</v>
      </c>
      <c r="K29" s="141">
        <v>574</v>
      </c>
    </row>
    <row r="30" spans="1:11" x14ac:dyDescent="0.35">
      <c r="A30" s="142" t="s">
        <v>1242</v>
      </c>
      <c r="B30" s="142"/>
      <c r="C30" s="142"/>
      <c r="D30" s="142"/>
      <c r="E30" s="142"/>
      <c r="F30" s="142"/>
      <c r="G30" s="142"/>
      <c r="H30" s="142"/>
      <c r="I30" s="142"/>
      <c r="J30" s="142"/>
      <c r="K30" s="142"/>
    </row>
    <row r="31" spans="1:11" x14ac:dyDescent="0.35">
      <c r="A31" s="140" t="s">
        <v>916</v>
      </c>
      <c r="B31" s="141" t="s">
        <v>1243</v>
      </c>
      <c r="C31" s="141">
        <v>481</v>
      </c>
      <c r="D31" s="141" t="s">
        <v>1138</v>
      </c>
      <c r="E31" s="141">
        <v>487</v>
      </c>
      <c r="F31" s="141" t="s">
        <v>1244</v>
      </c>
      <c r="G31" s="141">
        <v>489</v>
      </c>
      <c r="H31" s="141" t="s">
        <v>1245</v>
      </c>
      <c r="I31" s="141">
        <v>479</v>
      </c>
      <c r="J31" s="141" t="s">
        <v>1245</v>
      </c>
      <c r="K31" s="141">
        <v>592</v>
      </c>
    </row>
    <row r="32" spans="1:11" x14ac:dyDescent="0.35">
      <c r="A32" s="140" t="s">
        <v>1246</v>
      </c>
      <c r="B32" s="141">
        <v>64.3</v>
      </c>
      <c r="C32" s="141">
        <v>449</v>
      </c>
      <c r="D32" s="141">
        <v>62.3</v>
      </c>
      <c r="E32" s="141">
        <v>455</v>
      </c>
      <c r="F32" s="141">
        <v>65.7</v>
      </c>
      <c r="G32" s="141">
        <v>467</v>
      </c>
      <c r="H32" s="141">
        <v>69.8</v>
      </c>
      <c r="I32" s="141">
        <v>458</v>
      </c>
      <c r="J32" s="141">
        <v>70.5</v>
      </c>
      <c r="K32" s="141">
        <v>541</v>
      </c>
    </row>
    <row r="33" spans="1:11" x14ac:dyDescent="0.35">
      <c r="A33" s="140" t="s">
        <v>912</v>
      </c>
      <c r="B33" s="141" t="s">
        <v>1243</v>
      </c>
      <c r="C33" s="141">
        <v>481</v>
      </c>
      <c r="D33" s="141" t="s">
        <v>1243</v>
      </c>
      <c r="E33" s="141">
        <v>488</v>
      </c>
      <c r="F33" s="141" t="s">
        <v>1243</v>
      </c>
      <c r="G33" s="141">
        <v>489</v>
      </c>
      <c r="H33" s="141" t="s">
        <v>1137</v>
      </c>
      <c r="I33" s="141">
        <v>479</v>
      </c>
      <c r="J33" s="141" t="s">
        <v>1137</v>
      </c>
      <c r="K33" s="141">
        <v>592</v>
      </c>
    </row>
    <row r="34" spans="1:11" x14ac:dyDescent="0.35">
      <c r="A34" s="140" t="s">
        <v>1247</v>
      </c>
      <c r="B34" s="141">
        <v>0.1</v>
      </c>
      <c r="C34" s="141">
        <v>9</v>
      </c>
      <c r="D34" s="141">
        <v>0.1</v>
      </c>
      <c r="E34" s="141">
        <v>310</v>
      </c>
      <c r="F34" s="141">
        <v>0.1</v>
      </c>
      <c r="G34" s="141">
        <v>318</v>
      </c>
      <c r="H34" s="141">
        <v>0.1</v>
      </c>
      <c r="I34" s="141">
        <v>315</v>
      </c>
      <c r="J34" s="141">
        <v>42.8</v>
      </c>
      <c r="K34" s="141">
        <v>531</v>
      </c>
    </row>
    <row r="35" spans="1:11" x14ac:dyDescent="0.35">
      <c r="A35" s="140" t="s">
        <v>1248</v>
      </c>
      <c r="B35" s="141">
        <v>40</v>
      </c>
      <c r="C35" s="141">
        <v>447</v>
      </c>
      <c r="D35" s="141">
        <v>38.1</v>
      </c>
      <c r="E35" s="141">
        <v>454</v>
      </c>
      <c r="F35" s="141">
        <v>37.299999999999997</v>
      </c>
      <c r="G35" s="141">
        <v>466</v>
      </c>
      <c r="H35" s="141">
        <v>37.200000000000003</v>
      </c>
      <c r="I35" s="141">
        <v>457</v>
      </c>
      <c r="J35" s="141">
        <v>35.1</v>
      </c>
      <c r="K35" s="141">
        <v>538</v>
      </c>
    </row>
    <row r="36" spans="1:11" x14ac:dyDescent="0.35">
      <c r="A36" s="140" t="s">
        <v>1249</v>
      </c>
      <c r="B36" s="141">
        <v>62.8</v>
      </c>
      <c r="C36" s="141">
        <v>440</v>
      </c>
      <c r="D36" s="141">
        <v>60.2</v>
      </c>
      <c r="E36" s="141">
        <v>447</v>
      </c>
      <c r="F36" s="141">
        <v>64.7</v>
      </c>
      <c r="G36" s="141">
        <v>459</v>
      </c>
      <c r="H36" s="141">
        <v>68.400000000000006</v>
      </c>
      <c r="I36" s="141">
        <v>451</v>
      </c>
      <c r="J36" s="141">
        <v>68.900000000000006</v>
      </c>
      <c r="K36" s="141">
        <v>526</v>
      </c>
    </row>
    <row r="37" spans="1:11" x14ac:dyDescent="0.35">
      <c r="A37" s="140" t="s">
        <v>1250</v>
      </c>
      <c r="B37" s="141" t="s">
        <v>1251</v>
      </c>
      <c r="C37" s="141">
        <v>415</v>
      </c>
      <c r="D37" s="141" t="s">
        <v>1251</v>
      </c>
      <c r="E37" s="141">
        <v>419</v>
      </c>
      <c r="F37" s="141" t="s">
        <v>1252</v>
      </c>
      <c r="G37" s="141">
        <v>422</v>
      </c>
      <c r="H37" s="141" t="s">
        <v>1252</v>
      </c>
      <c r="I37" s="141">
        <v>410</v>
      </c>
      <c r="J37" s="141" t="s">
        <v>1252</v>
      </c>
      <c r="K37" s="141">
        <v>562</v>
      </c>
    </row>
    <row r="38" spans="1:11" x14ac:dyDescent="0.35">
      <c r="A38" s="142" t="s">
        <v>1253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</row>
    <row r="39" spans="1:11" x14ac:dyDescent="0.35">
      <c r="A39" s="140" t="s">
        <v>1254</v>
      </c>
      <c r="B39" s="141" t="s">
        <v>1255</v>
      </c>
      <c r="C39" s="141">
        <v>481</v>
      </c>
      <c r="D39" s="141" t="s">
        <v>1256</v>
      </c>
      <c r="E39" s="141">
        <v>488</v>
      </c>
      <c r="F39" s="141" t="s">
        <v>1257</v>
      </c>
      <c r="G39" s="141">
        <v>489</v>
      </c>
      <c r="H39" s="141" t="s">
        <v>1258</v>
      </c>
      <c r="I39" s="141">
        <v>479</v>
      </c>
      <c r="J39" s="141" t="s">
        <v>1259</v>
      </c>
      <c r="K39" s="141">
        <v>593</v>
      </c>
    </row>
    <row r="40" spans="1:11" x14ac:dyDescent="0.35">
      <c r="A40" s="140" t="s">
        <v>1260</v>
      </c>
      <c r="B40" s="141" t="s">
        <v>1261</v>
      </c>
      <c r="C40" s="141">
        <v>481</v>
      </c>
      <c r="D40" s="141" t="s">
        <v>1262</v>
      </c>
      <c r="E40" s="141">
        <v>488</v>
      </c>
      <c r="F40" s="141" t="s">
        <v>1263</v>
      </c>
      <c r="G40" s="141">
        <v>489</v>
      </c>
      <c r="H40" s="141" t="s">
        <v>1264</v>
      </c>
      <c r="I40" s="141">
        <v>479</v>
      </c>
      <c r="J40" s="141" t="s">
        <v>1265</v>
      </c>
      <c r="K40" s="141">
        <v>593</v>
      </c>
    </row>
    <row r="41" spans="1:11" x14ac:dyDescent="0.35">
      <c r="A41" s="140" t="s">
        <v>1266</v>
      </c>
      <c r="B41" s="141" t="s">
        <v>1267</v>
      </c>
      <c r="C41" s="141">
        <v>324</v>
      </c>
      <c r="D41" s="141" t="s">
        <v>1268</v>
      </c>
      <c r="E41" s="141">
        <v>344</v>
      </c>
      <c r="F41" s="141" t="s">
        <v>1264</v>
      </c>
      <c r="G41" s="141">
        <v>336</v>
      </c>
      <c r="H41" s="141" t="s">
        <v>1269</v>
      </c>
      <c r="I41" s="141">
        <v>328</v>
      </c>
      <c r="J41" s="141" t="s">
        <v>1270</v>
      </c>
      <c r="K41" s="141">
        <v>409</v>
      </c>
    </row>
    <row r="42" spans="1:11" x14ac:dyDescent="0.35">
      <c r="A42" s="140" t="s">
        <v>1271</v>
      </c>
      <c r="B42" s="141" t="s">
        <v>1272</v>
      </c>
      <c r="C42" s="141">
        <v>324</v>
      </c>
      <c r="D42" s="141" t="s">
        <v>1273</v>
      </c>
      <c r="E42" s="141">
        <v>344</v>
      </c>
      <c r="F42" s="141" t="s">
        <v>1274</v>
      </c>
      <c r="G42" s="141">
        <v>336</v>
      </c>
      <c r="H42" s="141" t="s">
        <v>1274</v>
      </c>
      <c r="I42" s="141">
        <v>328</v>
      </c>
      <c r="J42" s="141" t="s">
        <v>1275</v>
      </c>
      <c r="K42" s="141">
        <v>409</v>
      </c>
    </row>
    <row r="43" spans="1:11" x14ac:dyDescent="0.35">
      <c r="A43" s="140" t="s">
        <v>1276</v>
      </c>
      <c r="B43" s="141" t="s">
        <v>1277</v>
      </c>
      <c r="C43" s="141">
        <v>481</v>
      </c>
      <c r="D43" s="141" t="s">
        <v>1278</v>
      </c>
      <c r="E43" s="141">
        <v>488</v>
      </c>
      <c r="F43" s="141" t="s">
        <v>1278</v>
      </c>
      <c r="G43" s="141">
        <v>489</v>
      </c>
      <c r="H43" s="141" t="s">
        <v>1279</v>
      </c>
      <c r="I43" s="141">
        <v>479</v>
      </c>
      <c r="J43" s="141" t="s">
        <v>1280</v>
      </c>
      <c r="K43" s="141">
        <v>593</v>
      </c>
    </row>
    <row r="44" spans="1:11" x14ac:dyDescent="0.35">
      <c r="A44" s="140" t="s">
        <v>1281</v>
      </c>
      <c r="B44" s="141" t="s">
        <v>1282</v>
      </c>
      <c r="C44" s="141">
        <v>569</v>
      </c>
      <c r="D44" s="141" t="s">
        <v>1283</v>
      </c>
      <c r="E44" s="141">
        <v>587</v>
      </c>
      <c r="F44" s="141" t="s">
        <v>1284</v>
      </c>
      <c r="G44" s="141">
        <v>586</v>
      </c>
      <c r="H44" s="141" t="s">
        <v>1285</v>
      </c>
      <c r="I44" s="141">
        <v>570</v>
      </c>
      <c r="J44" s="141" t="s">
        <v>1286</v>
      </c>
      <c r="K44" s="141">
        <v>590</v>
      </c>
    </row>
    <row r="45" spans="1:11" x14ac:dyDescent="0.35">
      <c r="A45" s="140" t="s">
        <v>1287</v>
      </c>
      <c r="B45" s="141" t="s">
        <v>1288</v>
      </c>
      <c r="C45" s="141">
        <v>557</v>
      </c>
      <c r="D45" s="141" t="s">
        <v>1289</v>
      </c>
      <c r="E45" s="141">
        <v>576</v>
      </c>
      <c r="F45" s="141" t="s">
        <v>1290</v>
      </c>
      <c r="G45" s="141">
        <v>577</v>
      </c>
      <c r="H45" s="141" t="s">
        <v>1291</v>
      </c>
      <c r="I45" s="141">
        <v>564</v>
      </c>
      <c r="J45" s="141" t="s">
        <v>1292</v>
      </c>
      <c r="K45" s="141">
        <v>576</v>
      </c>
    </row>
    <row r="46" spans="1:11" x14ac:dyDescent="0.35">
      <c r="A46" s="140" t="s">
        <v>1293</v>
      </c>
      <c r="B46" s="141" t="s">
        <v>1294</v>
      </c>
      <c r="C46" s="141">
        <v>557</v>
      </c>
      <c r="D46" s="141" t="s">
        <v>1295</v>
      </c>
      <c r="E46" s="141">
        <v>576</v>
      </c>
      <c r="F46" s="141" t="s">
        <v>1296</v>
      </c>
      <c r="G46" s="141">
        <v>577</v>
      </c>
      <c r="H46" s="141" t="s">
        <v>1234</v>
      </c>
      <c r="I46" s="141">
        <v>564</v>
      </c>
      <c r="J46" s="141" t="s">
        <v>1297</v>
      </c>
      <c r="K46" s="141">
        <v>576</v>
      </c>
    </row>
    <row r="47" spans="1:11" x14ac:dyDescent="0.35">
      <c r="A47" s="140" t="s">
        <v>1298</v>
      </c>
      <c r="B47" s="141" t="s">
        <v>1299</v>
      </c>
      <c r="C47" s="141">
        <v>470</v>
      </c>
      <c r="D47" s="141" t="s">
        <v>1300</v>
      </c>
      <c r="E47" s="141">
        <v>479</v>
      </c>
      <c r="F47" s="141" t="s">
        <v>1301</v>
      </c>
      <c r="G47" s="141">
        <v>479</v>
      </c>
      <c r="H47" s="141" t="s">
        <v>1301</v>
      </c>
      <c r="I47" s="141">
        <v>470</v>
      </c>
      <c r="J47" s="141" t="s">
        <v>1300</v>
      </c>
      <c r="K47" s="141">
        <v>578</v>
      </c>
    </row>
    <row r="48" spans="1:11" x14ac:dyDescent="0.35">
      <c r="A48" s="140" t="s">
        <v>1302</v>
      </c>
      <c r="B48" s="141" t="s">
        <v>1303</v>
      </c>
      <c r="C48" s="141">
        <v>470</v>
      </c>
      <c r="D48" s="141" t="s">
        <v>1243</v>
      </c>
      <c r="E48" s="141">
        <v>479</v>
      </c>
      <c r="F48" s="141" t="s">
        <v>1140</v>
      </c>
      <c r="G48" s="141">
        <v>479</v>
      </c>
      <c r="H48" s="141" t="s">
        <v>1243</v>
      </c>
      <c r="I48" s="141">
        <v>470</v>
      </c>
      <c r="J48" s="141" t="s">
        <v>1139</v>
      </c>
      <c r="K48" s="141">
        <v>578</v>
      </c>
    </row>
    <row r="49" spans="1:11" x14ac:dyDescent="0.35">
      <c r="A49" s="142" t="s">
        <v>1304</v>
      </c>
      <c r="B49" s="142"/>
      <c r="C49" s="142"/>
      <c r="D49" s="142"/>
      <c r="E49" s="142"/>
      <c r="F49" s="142"/>
      <c r="G49" s="142"/>
      <c r="H49" s="142"/>
      <c r="I49" s="142"/>
      <c r="J49" s="142"/>
      <c r="K49" s="142"/>
    </row>
    <row r="50" spans="1:11" x14ac:dyDescent="0.35">
      <c r="A50" s="140" t="s">
        <v>1305</v>
      </c>
      <c r="B50" s="141" t="s">
        <v>1226</v>
      </c>
      <c r="C50" s="141">
        <v>528</v>
      </c>
      <c r="D50" s="141" t="s">
        <v>1306</v>
      </c>
      <c r="E50" s="141">
        <v>566</v>
      </c>
      <c r="F50" s="141" t="s">
        <v>1307</v>
      </c>
      <c r="G50" s="141">
        <v>576</v>
      </c>
      <c r="H50" s="141" t="s">
        <v>1308</v>
      </c>
      <c r="I50" s="141">
        <v>564</v>
      </c>
      <c r="J50" s="141" t="s">
        <v>1175</v>
      </c>
      <c r="K50" s="141">
        <v>579</v>
      </c>
    </row>
    <row r="51" spans="1:11" x14ac:dyDescent="0.35">
      <c r="A51" s="140" t="s">
        <v>1309</v>
      </c>
      <c r="B51" s="141" t="s">
        <v>1310</v>
      </c>
      <c r="C51" s="141">
        <v>530</v>
      </c>
      <c r="D51" s="141" t="s">
        <v>1208</v>
      </c>
      <c r="E51" s="141">
        <v>570</v>
      </c>
      <c r="F51" s="141" t="s">
        <v>1311</v>
      </c>
      <c r="G51" s="141">
        <v>583</v>
      </c>
      <c r="H51" s="141" t="s">
        <v>1312</v>
      </c>
      <c r="I51" s="141">
        <v>567</v>
      </c>
      <c r="J51" s="141" t="s">
        <v>1313</v>
      </c>
      <c r="K51" s="141">
        <v>583</v>
      </c>
    </row>
    <row r="52" spans="1:11" x14ac:dyDescent="0.35">
      <c r="A52" s="140" t="s">
        <v>1314</v>
      </c>
      <c r="B52" s="141" t="s">
        <v>1315</v>
      </c>
      <c r="C52" s="141">
        <v>525</v>
      </c>
      <c r="D52" s="141" t="s">
        <v>1316</v>
      </c>
      <c r="E52" s="141">
        <v>565</v>
      </c>
      <c r="F52" s="141" t="s">
        <v>1317</v>
      </c>
      <c r="G52" s="141">
        <v>579</v>
      </c>
      <c r="H52" s="141" t="s">
        <v>1318</v>
      </c>
      <c r="I52" s="141">
        <v>564</v>
      </c>
      <c r="J52" s="141" t="s">
        <v>1218</v>
      </c>
      <c r="K52" s="141">
        <v>578</v>
      </c>
    </row>
    <row r="53" spans="1:11" x14ac:dyDescent="0.35">
      <c r="A53" s="140" t="s">
        <v>1319</v>
      </c>
      <c r="B53" s="141" t="s">
        <v>1320</v>
      </c>
      <c r="C53" s="141">
        <v>535</v>
      </c>
      <c r="D53" s="141" t="s">
        <v>1267</v>
      </c>
      <c r="E53" s="141">
        <v>577</v>
      </c>
      <c r="F53" s="141" t="s">
        <v>1321</v>
      </c>
      <c r="G53" s="141">
        <v>592</v>
      </c>
      <c r="H53" s="141" t="s">
        <v>1322</v>
      </c>
      <c r="I53" s="141">
        <v>575</v>
      </c>
      <c r="J53" s="141" t="s">
        <v>1175</v>
      </c>
      <c r="K53" s="141">
        <v>592</v>
      </c>
    </row>
    <row r="54" spans="1:11" x14ac:dyDescent="0.35">
      <c r="A54" s="140" t="s">
        <v>1323</v>
      </c>
      <c r="B54" s="141" t="s">
        <v>1187</v>
      </c>
      <c r="C54" s="141">
        <v>535</v>
      </c>
      <c r="D54" s="141" t="s">
        <v>1324</v>
      </c>
      <c r="E54" s="141">
        <v>577</v>
      </c>
      <c r="F54" s="141" t="s">
        <v>1321</v>
      </c>
      <c r="G54" s="141">
        <v>592</v>
      </c>
      <c r="H54" s="141" t="s">
        <v>1325</v>
      </c>
      <c r="I54" s="141">
        <v>575</v>
      </c>
      <c r="J54" s="141" t="s">
        <v>1175</v>
      </c>
      <c r="K54" s="141">
        <v>592</v>
      </c>
    </row>
    <row r="55" spans="1:11" x14ac:dyDescent="0.35">
      <c r="A55" s="140" t="s">
        <v>1326</v>
      </c>
      <c r="B55" s="141" t="s">
        <v>1218</v>
      </c>
      <c r="C55" s="141">
        <v>535</v>
      </c>
      <c r="D55" s="141" t="s">
        <v>1327</v>
      </c>
      <c r="E55" s="141">
        <v>577</v>
      </c>
      <c r="F55" s="141" t="s">
        <v>1328</v>
      </c>
      <c r="G55" s="141">
        <v>592</v>
      </c>
      <c r="H55" s="141" t="s">
        <v>1329</v>
      </c>
      <c r="I55" s="141">
        <v>575</v>
      </c>
      <c r="J55" s="141" t="s">
        <v>1330</v>
      </c>
      <c r="K55" s="141">
        <v>592</v>
      </c>
    </row>
    <row r="56" spans="1:11" x14ac:dyDescent="0.35">
      <c r="A56" s="140" t="s">
        <v>1331</v>
      </c>
      <c r="B56" s="141" t="s">
        <v>1219</v>
      </c>
      <c r="C56" s="141">
        <v>537</v>
      </c>
      <c r="D56" s="141" t="s">
        <v>1332</v>
      </c>
      <c r="E56" s="141">
        <v>578</v>
      </c>
      <c r="F56" s="141" t="s">
        <v>1333</v>
      </c>
      <c r="G56" s="141">
        <v>592</v>
      </c>
      <c r="H56" s="141" t="s">
        <v>1334</v>
      </c>
      <c r="I56" s="141">
        <v>575</v>
      </c>
      <c r="J56" s="141" t="s">
        <v>1335</v>
      </c>
      <c r="K56" s="141">
        <v>592</v>
      </c>
    </row>
    <row r="57" spans="1:11" x14ac:dyDescent="0.35">
      <c r="A57" s="140" t="s">
        <v>1336</v>
      </c>
      <c r="B57" s="141" t="s">
        <v>1337</v>
      </c>
      <c r="C57" s="141">
        <v>535</v>
      </c>
      <c r="D57" s="141" t="s">
        <v>1338</v>
      </c>
      <c r="E57" s="141">
        <v>577</v>
      </c>
      <c r="F57" s="141" t="s">
        <v>1339</v>
      </c>
      <c r="G57" s="141">
        <v>592</v>
      </c>
      <c r="H57" s="141" t="s">
        <v>1340</v>
      </c>
      <c r="I57" s="141">
        <v>575</v>
      </c>
      <c r="J57" s="141" t="s">
        <v>1341</v>
      </c>
      <c r="K57" s="141">
        <v>592</v>
      </c>
    </row>
    <row r="58" spans="1:11" x14ac:dyDescent="0.35">
      <c r="A58" s="140" t="s">
        <v>1342</v>
      </c>
      <c r="B58" s="141" t="s">
        <v>1343</v>
      </c>
      <c r="C58" s="141">
        <v>440</v>
      </c>
      <c r="D58" s="141" t="s">
        <v>1344</v>
      </c>
      <c r="E58" s="141">
        <v>448</v>
      </c>
      <c r="F58" s="141" t="s">
        <v>1345</v>
      </c>
      <c r="G58" s="141">
        <v>459</v>
      </c>
      <c r="H58" s="141" t="s">
        <v>1346</v>
      </c>
      <c r="I58" s="141">
        <v>453</v>
      </c>
      <c r="J58" s="141" t="s">
        <v>1347</v>
      </c>
      <c r="K58" s="141">
        <v>536</v>
      </c>
    </row>
    <row r="59" spans="1:11" x14ac:dyDescent="0.35">
      <c r="A59" s="140" t="s">
        <v>1348</v>
      </c>
      <c r="B59" s="141" t="s">
        <v>1214</v>
      </c>
      <c r="C59" s="141">
        <v>442</v>
      </c>
      <c r="D59" s="141" t="s">
        <v>1228</v>
      </c>
      <c r="E59" s="141">
        <v>450</v>
      </c>
      <c r="F59" s="141" t="s">
        <v>1181</v>
      </c>
      <c r="G59" s="141">
        <v>459</v>
      </c>
      <c r="H59" s="141" t="s">
        <v>1349</v>
      </c>
      <c r="I59" s="141">
        <v>454</v>
      </c>
      <c r="J59" s="141" t="s">
        <v>1346</v>
      </c>
      <c r="K59" s="141">
        <v>537</v>
      </c>
    </row>
    <row r="60" spans="1:11" x14ac:dyDescent="0.35">
      <c r="A60" s="140" t="s">
        <v>1350</v>
      </c>
      <c r="B60" s="141" t="s">
        <v>1201</v>
      </c>
      <c r="C60" s="141">
        <v>446</v>
      </c>
      <c r="D60" s="141" t="s">
        <v>1351</v>
      </c>
      <c r="E60" s="141">
        <v>457</v>
      </c>
      <c r="F60" s="141" t="s">
        <v>1352</v>
      </c>
      <c r="G60" s="141">
        <v>466</v>
      </c>
      <c r="H60" s="141" t="s">
        <v>1225</v>
      </c>
      <c r="I60" s="141">
        <v>458</v>
      </c>
      <c r="J60" s="141" t="s">
        <v>1353</v>
      </c>
      <c r="K60" s="141">
        <v>546</v>
      </c>
    </row>
    <row r="61" spans="1:11" x14ac:dyDescent="0.35">
      <c r="A61" s="140" t="s">
        <v>1354</v>
      </c>
      <c r="B61" s="141" t="s">
        <v>1355</v>
      </c>
      <c r="C61" s="141">
        <v>447</v>
      </c>
      <c r="D61" s="141" t="s">
        <v>1356</v>
      </c>
      <c r="E61" s="141">
        <v>458</v>
      </c>
      <c r="F61" s="141" t="s">
        <v>1357</v>
      </c>
      <c r="G61" s="141">
        <v>467</v>
      </c>
      <c r="H61" s="141" t="s">
        <v>1358</v>
      </c>
      <c r="I61" s="141">
        <v>460</v>
      </c>
      <c r="J61" s="141" t="s">
        <v>1171</v>
      </c>
      <c r="K61" s="141">
        <v>554</v>
      </c>
    </row>
    <row r="62" spans="1:11" x14ac:dyDescent="0.35">
      <c r="A62" s="140" t="s">
        <v>1359</v>
      </c>
      <c r="B62" s="141" t="s">
        <v>1360</v>
      </c>
      <c r="C62" s="141">
        <v>447</v>
      </c>
      <c r="D62" s="141" t="s">
        <v>1361</v>
      </c>
      <c r="E62" s="141">
        <v>458</v>
      </c>
      <c r="F62" s="141" t="s">
        <v>1362</v>
      </c>
      <c r="G62" s="141">
        <v>467</v>
      </c>
      <c r="H62" s="141" t="s">
        <v>1363</v>
      </c>
      <c r="I62" s="141">
        <v>460</v>
      </c>
      <c r="J62" s="141" t="s">
        <v>1364</v>
      </c>
      <c r="K62" s="141">
        <v>554</v>
      </c>
    </row>
    <row r="63" spans="1:11" x14ac:dyDescent="0.35">
      <c r="A63" s="140" t="s">
        <v>1365</v>
      </c>
      <c r="B63" s="141" t="s">
        <v>1357</v>
      </c>
      <c r="C63" s="141">
        <v>447</v>
      </c>
      <c r="D63" s="141" t="s">
        <v>1366</v>
      </c>
      <c r="E63" s="141">
        <v>458</v>
      </c>
      <c r="F63" s="141" t="s">
        <v>1174</v>
      </c>
      <c r="G63" s="141">
        <v>467</v>
      </c>
      <c r="H63" s="141" t="s">
        <v>1358</v>
      </c>
      <c r="I63" s="141">
        <v>460</v>
      </c>
      <c r="J63" s="141" t="s">
        <v>1367</v>
      </c>
      <c r="K63" s="141">
        <v>554</v>
      </c>
    </row>
    <row r="64" spans="1:11" x14ac:dyDescent="0.35">
      <c r="A64" s="140" t="s">
        <v>1368</v>
      </c>
      <c r="B64" s="141" t="s">
        <v>1369</v>
      </c>
      <c r="C64" s="141">
        <v>382</v>
      </c>
      <c r="D64" s="141" t="s">
        <v>1187</v>
      </c>
      <c r="E64" s="141">
        <v>392</v>
      </c>
      <c r="F64" s="141" t="s">
        <v>1370</v>
      </c>
      <c r="G64" s="141">
        <v>403</v>
      </c>
      <c r="H64" s="141" t="s">
        <v>1329</v>
      </c>
      <c r="I64" s="141">
        <v>398</v>
      </c>
      <c r="J64" s="141" t="s">
        <v>1371</v>
      </c>
      <c r="K64" s="141">
        <v>535</v>
      </c>
    </row>
    <row r="65" spans="1:11" x14ac:dyDescent="0.35">
      <c r="A65" s="140" t="s">
        <v>1372</v>
      </c>
      <c r="B65" s="141" t="s">
        <v>1373</v>
      </c>
      <c r="C65" s="141">
        <v>371</v>
      </c>
      <c r="D65" s="141" t="s">
        <v>1373</v>
      </c>
      <c r="E65" s="141">
        <v>383</v>
      </c>
      <c r="F65" s="141" t="s">
        <v>1373</v>
      </c>
      <c r="G65" s="141">
        <v>392</v>
      </c>
      <c r="H65" s="141" t="s">
        <v>1373</v>
      </c>
      <c r="I65" s="141">
        <v>386</v>
      </c>
      <c r="J65" s="141" t="s">
        <v>1373</v>
      </c>
      <c r="K65" s="141">
        <v>515</v>
      </c>
    </row>
    <row r="66" spans="1:11" x14ac:dyDescent="0.35">
      <c r="A66" s="140" t="s">
        <v>1374</v>
      </c>
      <c r="B66" s="141" t="s">
        <v>1375</v>
      </c>
      <c r="C66" s="141" t="s">
        <v>1375</v>
      </c>
      <c r="D66" s="141" t="s">
        <v>1376</v>
      </c>
      <c r="E66" s="141">
        <v>381</v>
      </c>
      <c r="F66" s="141" t="s">
        <v>1377</v>
      </c>
      <c r="G66" s="141">
        <v>394</v>
      </c>
      <c r="H66" s="141" t="s">
        <v>1375</v>
      </c>
      <c r="I66" s="141" t="s">
        <v>1375</v>
      </c>
      <c r="J66" s="141" t="s">
        <v>1375</v>
      </c>
      <c r="K66" s="141" t="s">
        <v>1375</v>
      </c>
    </row>
    <row r="67" spans="1:11" x14ac:dyDescent="0.35">
      <c r="A67" s="140" t="s">
        <v>1378</v>
      </c>
      <c r="B67" s="141" t="s">
        <v>1373</v>
      </c>
      <c r="C67" s="141">
        <v>371</v>
      </c>
      <c r="D67" s="141" t="s">
        <v>1379</v>
      </c>
      <c r="E67" s="141">
        <v>381</v>
      </c>
      <c r="F67" s="141" t="s">
        <v>1380</v>
      </c>
      <c r="G67" s="141">
        <v>394</v>
      </c>
      <c r="H67" s="141" t="s">
        <v>1381</v>
      </c>
      <c r="I67" s="141">
        <v>389</v>
      </c>
      <c r="J67" s="141" t="s">
        <v>1373</v>
      </c>
      <c r="K67" s="141">
        <v>509</v>
      </c>
    </row>
    <row r="68" spans="1:11" x14ac:dyDescent="0.35">
      <c r="A68" s="142" t="s">
        <v>1382</v>
      </c>
      <c r="B68" s="142"/>
      <c r="C68" s="142"/>
      <c r="D68" s="142"/>
      <c r="E68" s="142"/>
      <c r="F68" s="142"/>
      <c r="G68" s="142"/>
      <c r="H68" s="142"/>
      <c r="I68" s="142"/>
      <c r="J68" s="142"/>
      <c r="K68" s="142"/>
    </row>
    <row r="69" spans="1:11" x14ac:dyDescent="0.35">
      <c r="A69" s="140" t="s">
        <v>1383</v>
      </c>
      <c r="B69" s="141" t="s">
        <v>1353</v>
      </c>
      <c r="C69" s="141">
        <v>521</v>
      </c>
      <c r="D69" s="141" t="s">
        <v>1310</v>
      </c>
      <c r="E69" s="141">
        <v>527</v>
      </c>
      <c r="F69" s="141" t="s">
        <v>1177</v>
      </c>
      <c r="G69" s="141">
        <v>558</v>
      </c>
      <c r="H69" s="141" t="s">
        <v>1343</v>
      </c>
      <c r="I69" s="141">
        <v>555</v>
      </c>
      <c r="J69" s="141" t="s">
        <v>1229</v>
      </c>
      <c r="K69" s="141">
        <v>569</v>
      </c>
    </row>
    <row r="70" spans="1:11" x14ac:dyDescent="0.35">
      <c r="A70" s="140" t="s">
        <v>1384</v>
      </c>
      <c r="B70" s="141" t="s">
        <v>1221</v>
      </c>
      <c r="C70" s="141">
        <v>522</v>
      </c>
      <c r="D70" s="141" t="s">
        <v>1385</v>
      </c>
      <c r="E70" s="141">
        <v>530</v>
      </c>
      <c r="F70" s="141" t="s">
        <v>1386</v>
      </c>
      <c r="G70" s="141">
        <v>563</v>
      </c>
      <c r="H70" s="141" t="s">
        <v>1387</v>
      </c>
      <c r="I70" s="141">
        <v>558</v>
      </c>
      <c r="J70" s="141" t="s">
        <v>1388</v>
      </c>
      <c r="K70" s="141">
        <v>573</v>
      </c>
    </row>
    <row r="71" spans="1:11" x14ac:dyDescent="0.35">
      <c r="A71" s="140" t="s">
        <v>1389</v>
      </c>
      <c r="B71" s="141" t="s">
        <v>1351</v>
      </c>
      <c r="C71" s="141">
        <v>519</v>
      </c>
      <c r="D71" s="141" t="s">
        <v>1187</v>
      </c>
      <c r="E71" s="141">
        <v>529</v>
      </c>
      <c r="F71" s="141" t="s">
        <v>1390</v>
      </c>
      <c r="G71" s="141">
        <v>559</v>
      </c>
      <c r="H71" s="141" t="s">
        <v>1391</v>
      </c>
      <c r="I71" s="141">
        <v>555</v>
      </c>
      <c r="J71" s="141" t="s">
        <v>1392</v>
      </c>
      <c r="K71" s="141">
        <v>566</v>
      </c>
    </row>
    <row r="72" spans="1:11" x14ac:dyDescent="0.35">
      <c r="A72" s="140" t="s">
        <v>1393</v>
      </c>
      <c r="B72" s="141" t="s">
        <v>1351</v>
      </c>
      <c r="C72" s="141">
        <v>530</v>
      </c>
      <c r="D72" s="141" t="s">
        <v>1394</v>
      </c>
      <c r="E72" s="141">
        <v>536</v>
      </c>
      <c r="F72" s="141" t="s">
        <v>1175</v>
      </c>
      <c r="G72" s="141">
        <v>571</v>
      </c>
      <c r="H72" s="141" t="s">
        <v>1395</v>
      </c>
      <c r="I72" s="141">
        <v>566</v>
      </c>
      <c r="J72" s="141" t="s">
        <v>1396</v>
      </c>
      <c r="K72" s="141">
        <v>584</v>
      </c>
    </row>
    <row r="73" spans="1:11" x14ac:dyDescent="0.35">
      <c r="A73" s="140" t="s">
        <v>1397</v>
      </c>
      <c r="B73" s="141" t="s">
        <v>1398</v>
      </c>
      <c r="C73" s="141">
        <v>530</v>
      </c>
      <c r="D73" s="141" t="s">
        <v>1399</v>
      </c>
      <c r="E73" s="141">
        <v>536</v>
      </c>
      <c r="F73" s="141" t="s">
        <v>1400</v>
      </c>
      <c r="G73" s="141">
        <v>571</v>
      </c>
      <c r="H73" s="141" t="s">
        <v>1401</v>
      </c>
      <c r="I73" s="141">
        <v>566</v>
      </c>
      <c r="J73" s="141" t="s">
        <v>1396</v>
      </c>
      <c r="K73" s="141">
        <v>584</v>
      </c>
    </row>
    <row r="74" spans="1:11" x14ac:dyDescent="0.35">
      <c r="A74" s="140" t="s">
        <v>1402</v>
      </c>
      <c r="B74" s="141" t="s">
        <v>1403</v>
      </c>
      <c r="C74" s="141">
        <v>530</v>
      </c>
      <c r="D74" s="141" t="s">
        <v>1187</v>
      </c>
      <c r="E74" s="141">
        <v>536</v>
      </c>
      <c r="F74" s="141" t="s">
        <v>1404</v>
      </c>
      <c r="G74" s="141">
        <v>571</v>
      </c>
      <c r="H74" s="141" t="s">
        <v>1311</v>
      </c>
      <c r="I74" s="141">
        <v>566</v>
      </c>
      <c r="J74" s="141" t="s">
        <v>1405</v>
      </c>
      <c r="K74" s="141">
        <v>584</v>
      </c>
    </row>
    <row r="75" spans="1:11" x14ac:dyDescent="0.35">
      <c r="A75" s="140" t="s">
        <v>1406</v>
      </c>
      <c r="B75" s="141" t="s">
        <v>1407</v>
      </c>
      <c r="C75" s="141">
        <v>532</v>
      </c>
      <c r="D75" s="141" t="s">
        <v>1408</v>
      </c>
      <c r="E75" s="141">
        <v>538</v>
      </c>
      <c r="F75" s="141" t="s">
        <v>1409</v>
      </c>
      <c r="G75" s="141">
        <v>572</v>
      </c>
      <c r="H75" s="141" t="s">
        <v>1410</v>
      </c>
      <c r="I75" s="141">
        <v>566</v>
      </c>
      <c r="J75" s="141" t="s">
        <v>1411</v>
      </c>
      <c r="K75" s="141">
        <v>584</v>
      </c>
    </row>
    <row r="76" spans="1:11" x14ac:dyDescent="0.35">
      <c r="A76" s="140" t="s">
        <v>1412</v>
      </c>
      <c r="B76" s="141" t="s">
        <v>1182</v>
      </c>
      <c r="C76" s="141">
        <v>530</v>
      </c>
      <c r="D76" s="141" t="s">
        <v>1413</v>
      </c>
      <c r="E76" s="141">
        <v>536</v>
      </c>
      <c r="F76" s="141" t="s">
        <v>1404</v>
      </c>
      <c r="G76" s="141">
        <v>571</v>
      </c>
      <c r="H76" s="141" t="s">
        <v>1414</v>
      </c>
      <c r="I76" s="141">
        <v>566</v>
      </c>
      <c r="J76" s="141" t="s">
        <v>1415</v>
      </c>
      <c r="K76" s="141">
        <v>584</v>
      </c>
    </row>
    <row r="77" spans="1:11" x14ac:dyDescent="0.35">
      <c r="A77" s="140" t="s">
        <v>1416</v>
      </c>
      <c r="B77" s="141" t="s">
        <v>1343</v>
      </c>
      <c r="C77" s="141">
        <v>431</v>
      </c>
      <c r="D77" s="141" t="s">
        <v>1362</v>
      </c>
      <c r="E77" s="141">
        <v>439</v>
      </c>
      <c r="F77" s="141" t="s">
        <v>1417</v>
      </c>
      <c r="G77" s="141">
        <v>445</v>
      </c>
      <c r="H77" s="141" t="s">
        <v>1307</v>
      </c>
      <c r="I77" s="141">
        <v>446</v>
      </c>
      <c r="J77" s="141" t="s">
        <v>1418</v>
      </c>
      <c r="K77" s="141">
        <v>531</v>
      </c>
    </row>
    <row r="78" spans="1:11" x14ac:dyDescent="0.35">
      <c r="A78" s="140" t="s">
        <v>1419</v>
      </c>
      <c r="B78" s="141" t="s">
        <v>1226</v>
      </c>
      <c r="C78" s="141">
        <v>435</v>
      </c>
      <c r="D78" s="141" t="s">
        <v>1420</v>
      </c>
      <c r="E78" s="141">
        <v>439</v>
      </c>
      <c r="F78" s="141" t="s">
        <v>1209</v>
      </c>
      <c r="G78" s="141">
        <v>449</v>
      </c>
      <c r="H78" s="141" t="s">
        <v>1421</v>
      </c>
      <c r="I78" s="141">
        <v>448</v>
      </c>
      <c r="J78" s="141" t="s">
        <v>1172</v>
      </c>
      <c r="K78" s="141">
        <v>534</v>
      </c>
    </row>
    <row r="79" spans="1:11" x14ac:dyDescent="0.35">
      <c r="A79" s="140" t="s">
        <v>1422</v>
      </c>
      <c r="B79" s="141" t="s">
        <v>1209</v>
      </c>
      <c r="C79" s="141">
        <v>439</v>
      </c>
      <c r="D79" s="141" t="s">
        <v>1202</v>
      </c>
      <c r="E79" s="141">
        <v>446</v>
      </c>
      <c r="F79" s="141" t="s">
        <v>1390</v>
      </c>
      <c r="G79" s="141">
        <v>451</v>
      </c>
      <c r="H79" s="141" t="s">
        <v>1423</v>
      </c>
      <c r="I79" s="141">
        <v>452</v>
      </c>
      <c r="J79" s="141" t="s">
        <v>1403</v>
      </c>
      <c r="K79" s="141">
        <v>542</v>
      </c>
    </row>
    <row r="80" spans="1:11" x14ac:dyDescent="0.35">
      <c r="A80" s="140" t="s">
        <v>1424</v>
      </c>
      <c r="B80" s="141" t="s">
        <v>1425</v>
      </c>
      <c r="C80" s="141">
        <v>441</v>
      </c>
      <c r="D80" s="141" t="s">
        <v>1306</v>
      </c>
      <c r="E80" s="141">
        <v>447</v>
      </c>
      <c r="F80" s="141" t="s">
        <v>1209</v>
      </c>
      <c r="G80" s="141">
        <v>452</v>
      </c>
      <c r="H80" s="141" t="s">
        <v>1426</v>
      </c>
      <c r="I80" s="141">
        <v>453</v>
      </c>
      <c r="J80" s="141" t="s">
        <v>1427</v>
      </c>
      <c r="K80" s="141">
        <v>550</v>
      </c>
    </row>
    <row r="81" spans="1:11" x14ac:dyDescent="0.35">
      <c r="A81" s="140" t="s">
        <v>1428</v>
      </c>
      <c r="B81" s="141" t="s">
        <v>1355</v>
      </c>
      <c r="C81" s="141">
        <v>441</v>
      </c>
      <c r="D81" s="141" t="s">
        <v>1182</v>
      </c>
      <c r="E81" s="141">
        <v>447</v>
      </c>
      <c r="F81" s="141" t="s">
        <v>1205</v>
      </c>
      <c r="G81" s="141">
        <v>452</v>
      </c>
      <c r="H81" s="141" t="s">
        <v>1352</v>
      </c>
      <c r="I81" s="141">
        <v>453</v>
      </c>
      <c r="J81" s="141" t="s">
        <v>1429</v>
      </c>
      <c r="K81" s="141">
        <v>550</v>
      </c>
    </row>
    <row r="82" spans="1:11" x14ac:dyDescent="0.35">
      <c r="A82" s="140" t="s">
        <v>1430</v>
      </c>
      <c r="B82" s="141" t="s">
        <v>1431</v>
      </c>
      <c r="C82" s="141">
        <v>441</v>
      </c>
      <c r="D82" s="141" t="s">
        <v>1218</v>
      </c>
      <c r="E82" s="141">
        <v>447</v>
      </c>
      <c r="F82" s="141" t="s">
        <v>1432</v>
      </c>
      <c r="G82" s="141">
        <v>452</v>
      </c>
      <c r="H82" s="141" t="s">
        <v>1352</v>
      </c>
      <c r="I82" s="141">
        <v>453</v>
      </c>
      <c r="J82" s="141" t="s">
        <v>1427</v>
      </c>
      <c r="K82" s="141">
        <v>550</v>
      </c>
    </row>
    <row r="83" spans="1:11" x14ac:dyDescent="0.35">
      <c r="A83" s="140" t="s">
        <v>1433</v>
      </c>
      <c r="B83" s="141" t="s">
        <v>1434</v>
      </c>
      <c r="C83" s="141">
        <v>377</v>
      </c>
      <c r="D83" s="141" t="s">
        <v>1435</v>
      </c>
      <c r="E83" s="141">
        <v>382</v>
      </c>
      <c r="F83" s="141" t="s">
        <v>1436</v>
      </c>
      <c r="G83" s="141">
        <v>388</v>
      </c>
      <c r="H83" s="141" t="s">
        <v>1437</v>
      </c>
      <c r="I83" s="141">
        <v>389</v>
      </c>
      <c r="J83" s="141" t="s">
        <v>1438</v>
      </c>
      <c r="K83" s="141">
        <v>521</v>
      </c>
    </row>
    <row r="84" spans="1:11" x14ac:dyDescent="0.35">
      <c r="A84" s="140" t="s">
        <v>1439</v>
      </c>
      <c r="B84" s="141" t="s">
        <v>1373</v>
      </c>
      <c r="C84" s="141">
        <v>365</v>
      </c>
      <c r="D84" s="141" t="s">
        <v>1373</v>
      </c>
      <c r="E84" s="141">
        <v>373</v>
      </c>
      <c r="F84" s="141" t="s">
        <v>1373</v>
      </c>
      <c r="G84" s="141">
        <v>378</v>
      </c>
      <c r="H84" s="141" t="s">
        <v>1373</v>
      </c>
      <c r="I84" s="141">
        <v>382</v>
      </c>
      <c r="J84" s="141" t="s">
        <v>1373</v>
      </c>
      <c r="K84" s="141">
        <v>502</v>
      </c>
    </row>
    <row r="85" spans="1:11" x14ac:dyDescent="0.35">
      <c r="A85" s="140" t="s">
        <v>1440</v>
      </c>
      <c r="B85" s="141" t="s">
        <v>1441</v>
      </c>
      <c r="C85" s="141">
        <v>366</v>
      </c>
      <c r="D85" s="141" t="s">
        <v>1375</v>
      </c>
      <c r="E85" s="141" t="s">
        <v>1375</v>
      </c>
      <c r="F85" s="141" t="s">
        <v>1442</v>
      </c>
      <c r="G85" s="141">
        <v>373</v>
      </c>
      <c r="H85" s="141" t="s">
        <v>1375</v>
      </c>
      <c r="I85" s="141" t="s">
        <v>1375</v>
      </c>
      <c r="J85" s="141" t="s">
        <v>1443</v>
      </c>
      <c r="K85" s="141">
        <v>487</v>
      </c>
    </row>
    <row r="86" spans="1:11" x14ac:dyDescent="0.35">
      <c r="A86" s="140" t="s">
        <v>1444</v>
      </c>
      <c r="B86" s="141" t="s">
        <v>1445</v>
      </c>
      <c r="C86" s="141">
        <v>366</v>
      </c>
      <c r="D86" s="141" t="s">
        <v>1446</v>
      </c>
      <c r="E86" s="141">
        <v>371</v>
      </c>
      <c r="F86" s="141" t="s">
        <v>1447</v>
      </c>
      <c r="G86" s="141">
        <v>373</v>
      </c>
      <c r="H86" s="141" t="s">
        <v>1448</v>
      </c>
      <c r="I86" s="141">
        <v>382</v>
      </c>
      <c r="J86" s="141" t="s">
        <v>1443</v>
      </c>
      <c r="K86" s="141">
        <v>487</v>
      </c>
    </row>
    <row r="87" spans="1:11" x14ac:dyDescent="0.35">
      <c r="A87" s="142" t="s">
        <v>1449</v>
      </c>
      <c r="B87" s="142"/>
      <c r="C87" s="142"/>
      <c r="D87" s="142"/>
      <c r="E87" s="142"/>
      <c r="F87" s="142"/>
      <c r="G87" s="142"/>
      <c r="H87" s="142"/>
      <c r="I87" s="142"/>
      <c r="J87" s="142"/>
      <c r="K87" s="142"/>
    </row>
    <row r="88" spans="1:11" x14ac:dyDescent="0.35">
      <c r="A88" s="140" t="s">
        <v>1450</v>
      </c>
      <c r="B88" s="141" t="s">
        <v>1385</v>
      </c>
      <c r="C88" s="141">
        <v>511</v>
      </c>
      <c r="D88" s="141" t="s">
        <v>1218</v>
      </c>
      <c r="E88" s="141">
        <v>518</v>
      </c>
      <c r="F88" s="141" t="s">
        <v>1451</v>
      </c>
      <c r="G88" s="141">
        <v>519</v>
      </c>
      <c r="H88" s="141" t="s">
        <v>1169</v>
      </c>
      <c r="I88" s="141">
        <v>537</v>
      </c>
      <c r="J88" s="141" t="s">
        <v>1352</v>
      </c>
      <c r="K88" s="141">
        <v>559</v>
      </c>
    </row>
    <row r="89" spans="1:11" x14ac:dyDescent="0.35">
      <c r="A89" s="140" t="s">
        <v>1452</v>
      </c>
      <c r="B89" s="141" t="s">
        <v>1218</v>
      </c>
      <c r="C89" s="141">
        <v>515</v>
      </c>
      <c r="D89" s="141" t="s">
        <v>1228</v>
      </c>
      <c r="E89" s="141">
        <v>521</v>
      </c>
      <c r="F89" s="141" t="s">
        <v>1453</v>
      </c>
      <c r="G89" s="141">
        <v>523</v>
      </c>
      <c r="H89" s="141" t="s">
        <v>1225</v>
      </c>
      <c r="I89" s="141">
        <v>539</v>
      </c>
      <c r="J89" s="141" t="s">
        <v>1454</v>
      </c>
      <c r="K89" s="141">
        <v>563</v>
      </c>
    </row>
    <row r="90" spans="1:11" x14ac:dyDescent="0.35">
      <c r="A90" s="140" t="s">
        <v>1455</v>
      </c>
      <c r="B90" s="141" t="s">
        <v>1456</v>
      </c>
      <c r="C90" s="141">
        <v>504</v>
      </c>
      <c r="D90" s="141" t="s">
        <v>1457</v>
      </c>
      <c r="E90" s="141">
        <v>519</v>
      </c>
      <c r="F90" s="141" t="s">
        <v>1211</v>
      </c>
      <c r="G90" s="141">
        <v>521</v>
      </c>
      <c r="H90" s="141" t="s">
        <v>1330</v>
      </c>
      <c r="I90" s="141">
        <v>536</v>
      </c>
      <c r="J90" s="141" t="s">
        <v>1328</v>
      </c>
      <c r="K90" s="141">
        <v>553</v>
      </c>
    </row>
    <row r="91" spans="1:11" x14ac:dyDescent="0.35">
      <c r="A91" s="140" t="s">
        <v>1458</v>
      </c>
      <c r="B91" s="141" t="s">
        <v>1459</v>
      </c>
      <c r="C91" s="141">
        <v>520</v>
      </c>
      <c r="D91" s="141" t="s">
        <v>1460</v>
      </c>
      <c r="E91" s="141">
        <v>528</v>
      </c>
      <c r="F91" s="141" t="s">
        <v>1211</v>
      </c>
      <c r="G91" s="141">
        <v>529</v>
      </c>
      <c r="H91" s="141" t="s">
        <v>1461</v>
      </c>
      <c r="I91" s="141">
        <v>546</v>
      </c>
      <c r="J91" s="141" t="s">
        <v>1358</v>
      </c>
      <c r="K91" s="141">
        <v>573</v>
      </c>
    </row>
    <row r="92" spans="1:11" x14ac:dyDescent="0.35">
      <c r="A92" s="140" t="s">
        <v>1462</v>
      </c>
      <c r="B92" s="141" t="s">
        <v>1212</v>
      </c>
      <c r="C92" s="141">
        <v>520</v>
      </c>
      <c r="D92" s="141" t="s">
        <v>1443</v>
      </c>
      <c r="E92" s="141">
        <v>528</v>
      </c>
      <c r="F92" s="141" t="s">
        <v>1208</v>
      </c>
      <c r="G92" s="141">
        <v>529</v>
      </c>
      <c r="H92" s="141" t="s">
        <v>1461</v>
      </c>
      <c r="I92" s="141">
        <v>546</v>
      </c>
      <c r="J92" s="141" t="s">
        <v>1358</v>
      </c>
      <c r="K92" s="141">
        <v>573</v>
      </c>
    </row>
    <row r="93" spans="1:11" x14ac:dyDescent="0.35">
      <c r="A93" s="140" t="s">
        <v>1463</v>
      </c>
      <c r="B93" s="141" t="s">
        <v>1221</v>
      </c>
      <c r="C93" s="141">
        <v>520</v>
      </c>
      <c r="D93" s="141" t="s">
        <v>1214</v>
      </c>
      <c r="E93" s="141">
        <v>528</v>
      </c>
      <c r="F93" s="141" t="s">
        <v>1179</v>
      </c>
      <c r="G93" s="141">
        <v>529</v>
      </c>
      <c r="H93" s="141" t="s">
        <v>1346</v>
      </c>
      <c r="I93" s="141">
        <v>546</v>
      </c>
      <c r="J93" s="141" t="s">
        <v>1339</v>
      </c>
      <c r="K93" s="141">
        <v>573</v>
      </c>
    </row>
    <row r="94" spans="1:11" x14ac:dyDescent="0.35">
      <c r="A94" s="140" t="s">
        <v>1464</v>
      </c>
      <c r="B94" s="141" t="s">
        <v>1353</v>
      </c>
      <c r="C94" s="141">
        <v>521</v>
      </c>
      <c r="D94" s="141" t="s">
        <v>1172</v>
      </c>
      <c r="E94" s="141">
        <v>530</v>
      </c>
      <c r="F94" s="141" t="s">
        <v>1180</v>
      </c>
      <c r="G94" s="141">
        <v>531</v>
      </c>
      <c r="H94" s="141" t="s">
        <v>1307</v>
      </c>
      <c r="I94" s="141">
        <v>547</v>
      </c>
      <c r="J94" s="141" t="s">
        <v>1465</v>
      </c>
      <c r="K94" s="141">
        <v>574</v>
      </c>
    </row>
    <row r="95" spans="1:11" x14ac:dyDescent="0.35">
      <c r="A95" s="140" t="s">
        <v>1466</v>
      </c>
      <c r="B95" s="141" t="s">
        <v>1211</v>
      </c>
      <c r="C95" s="141">
        <v>520</v>
      </c>
      <c r="D95" s="141" t="s">
        <v>1467</v>
      </c>
      <c r="E95" s="141">
        <v>528</v>
      </c>
      <c r="F95" s="141" t="s">
        <v>1208</v>
      </c>
      <c r="G95" s="141">
        <v>529</v>
      </c>
      <c r="H95" s="141" t="s">
        <v>1468</v>
      </c>
      <c r="I95" s="141">
        <v>546</v>
      </c>
      <c r="J95" s="141" t="s">
        <v>1469</v>
      </c>
      <c r="K95" s="141">
        <v>573</v>
      </c>
    </row>
    <row r="96" spans="1:11" x14ac:dyDescent="0.35">
      <c r="A96" s="140" t="s">
        <v>1470</v>
      </c>
      <c r="B96" s="141" t="s">
        <v>1226</v>
      </c>
      <c r="C96" s="141">
        <v>420</v>
      </c>
      <c r="D96" s="141" t="s">
        <v>1344</v>
      </c>
      <c r="E96" s="141">
        <v>429</v>
      </c>
      <c r="F96" s="141" t="s">
        <v>1343</v>
      </c>
      <c r="G96" s="141">
        <v>434</v>
      </c>
      <c r="H96" s="141" t="s">
        <v>1307</v>
      </c>
      <c r="I96" s="141">
        <v>433</v>
      </c>
      <c r="J96" s="141" t="s">
        <v>1346</v>
      </c>
      <c r="K96" s="141">
        <v>513</v>
      </c>
    </row>
    <row r="97" spans="1:11" x14ac:dyDescent="0.35">
      <c r="A97" s="140" t="s">
        <v>1471</v>
      </c>
      <c r="B97" s="141" t="s">
        <v>1209</v>
      </c>
      <c r="C97" s="141">
        <v>425</v>
      </c>
      <c r="D97" s="141" t="s">
        <v>1472</v>
      </c>
      <c r="E97" s="141">
        <v>432</v>
      </c>
      <c r="F97" s="141" t="s">
        <v>1205</v>
      </c>
      <c r="G97" s="141">
        <v>437</v>
      </c>
      <c r="H97" s="141" t="s">
        <v>1473</v>
      </c>
      <c r="I97" s="141">
        <v>438</v>
      </c>
      <c r="J97" s="141" t="s">
        <v>1222</v>
      </c>
      <c r="K97" s="141">
        <v>520</v>
      </c>
    </row>
    <row r="98" spans="1:11" x14ac:dyDescent="0.35">
      <c r="A98" s="140" t="s">
        <v>1474</v>
      </c>
      <c r="B98" s="141" t="s">
        <v>1181</v>
      </c>
      <c r="C98" s="141">
        <v>430</v>
      </c>
      <c r="D98" s="141" t="s">
        <v>1179</v>
      </c>
      <c r="E98" s="141">
        <v>438</v>
      </c>
      <c r="F98" s="141" t="s">
        <v>1217</v>
      </c>
      <c r="G98" s="141">
        <v>439</v>
      </c>
      <c r="H98" s="141" t="s">
        <v>1475</v>
      </c>
      <c r="I98" s="141">
        <v>438</v>
      </c>
      <c r="J98" s="141" t="s">
        <v>1476</v>
      </c>
      <c r="K98" s="141">
        <v>526</v>
      </c>
    </row>
    <row r="99" spans="1:11" x14ac:dyDescent="0.35">
      <c r="A99" s="140" t="s">
        <v>1477</v>
      </c>
      <c r="B99" s="141" t="s">
        <v>1208</v>
      </c>
      <c r="C99" s="141">
        <v>431</v>
      </c>
      <c r="D99" s="141" t="s">
        <v>1218</v>
      </c>
      <c r="E99" s="141">
        <v>440</v>
      </c>
      <c r="F99" s="141" t="s">
        <v>1478</v>
      </c>
      <c r="G99" s="141">
        <v>440</v>
      </c>
      <c r="H99" s="141" t="s">
        <v>1479</v>
      </c>
      <c r="I99" s="141">
        <v>439</v>
      </c>
      <c r="J99" s="141" t="s">
        <v>1346</v>
      </c>
      <c r="K99" s="141">
        <v>534</v>
      </c>
    </row>
    <row r="100" spans="1:11" x14ac:dyDescent="0.35">
      <c r="A100" s="140" t="s">
        <v>1480</v>
      </c>
      <c r="B100" s="141" t="s">
        <v>1481</v>
      </c>
      <c r="C100" s="141">
        <v>431</v>
      </c>
      <c r="D100" s="141" t="s">
        <v>1385</v>
      </c>
      <c r="E100" s="141">
        <v>440</v>
      </c>
      <c r="F100" s="141" t="s">
        <v>1420</v>
      </c>
      <c r="G100" s="141">
        <v>440</v>
      </c>
      <c r="H100" s="141" t="s">
        <v>1176</v>
      </c>
      <c r="I100" s="141">
        <v>439</v>
      </c>
      <c r="J100" s="141" t="s">
        <v>1482</v>
      </c>
      <c r="K100" s="141">
        <v>534</v>
      </c>
    </row>
    <row r="101" spans="1:11" x14ac:dyDescent="0.35">
      <c r="A101" s="140" t="s">
        <v>1483</v>
      </c>
      <c r="B101" s="141" t="s">
        <v>1214</v>
      </c>
      <c r="C101" s="141">
        <v>431</v>
      </c>
      <c r="D101" s="141" t="s">
        <v>1175</v>
      </c>
      <c r="E101" s="141">
        <v>440</v>
      </c>
      <c r="F101" s="141" t="s">
        <v>1347</v>
      </c>
      <c r="G101" s="141">
        <v>440</v>
      </c>
      <c r="H101" s="141" t="s">
        <v>1169</v>
      </c>
      <c r="I101" s="141">
        <v>439</v>
      </c>
      <c r="J101" s="141" t="s">
        <v>1461</v>
      </c>
      <c r="K101" s="141">
        <v>534</v>
      </c>
    </row>
    <row r="102" spans="1:11" x14ac:dyDescent="0.35">
      <c r="A102" s="140" t="s">
        <v>1484</v>
      </c>
      <c r="B102" s="141" t="s">
        <v>1409</v>
      </c>
      <c r="C102" s="141">
        <v>364</v>
      </c>
      <c r="D102" s="141" t="s">
        <v>1485</v>
      </c>
      <c r="E102" s="141">
        <v>375</v>
      </c>
      <c r="F102" s="141" t="s">
        <v>1481</v>
      </c>
      <c r="G102" s="141">
        <v>377</v>
      </c>
      <c r="H102" s="141" t="s">
        <v>1486</v>
      </c>
      <c r="I102" s="141">
        <v>376</v>
      </c>
      <c r="J102" s="141" t="s">
        <v>1487</v>
      </c>
      <c r="K102" s="141">
        <v>508</v>
      </c>
    </row>
    <row r="103" spans="1:11" x14ac:dyDescent="0.35">
      <c r="A103" s="140" t="s">
        <v>1488</v>
      </c>
      <c r="B103" s="141" t="s">
        <v>1373</v>
      </c>
      <c r="C103" s="141">
        <v>356</v>
      </c>
      <c r="D103" s="141" t="s">
        <v>1373</v>
      </c>
      <c r="E103" s="141">
        <v>365</v>
      </c>
      <c r="F103" s="141" t="s">
        <v>1373</v>
      </c>
      <c r="G103" s="141">
        <v>365</v>
      </c>
      <c r="H103" s="141" t="s">
        <v>1373</v>
      </c>
      <c r="I103" s="141">
        <v>369</v>
      </c>
      <c r="J103" s="141" t="s">
        <v>1373</v>
      </c>
      <c r="K103" s="141">
        <v>490</v>
      </c>
    </row>
    <row r="104" spans="1:11" x14ac:dyDescent="0.35">
      <c r="A104" s="140" t="s">
        <v>1489</v>
      </c>
      <c r="B104" s="141" t="s">
        <v>1490</v>
      </c>
      <c r="C104" s="141">
        <v>354</v>
      </c>
      <c r="D104" s="141" t="s">
        <v>1491</v>
      </c>
      <c r="E104" s="141">
        <v>369</v>
      </c>
      <c r="F104" s="141" t="s">
        <v>1375</v>
      </c>
      <c r="G104" s="141" t="s">
        <v>1375</v>
      </c>
      <c r="H104" s="141" t="s">
        <v>1375</v>
      </c>
      <c r="I104" s="141" t="s">
        <v>1375</v>
      </c>
      <c r="J104" s="141" t="s">
        <v>1492</v>
      </c>
      <c r="K104" s="141">
        <v>476</v>
      </c>
    </row>
    <row r="105" spans="1:11" x14ac:dyDescent="0.35">
      <c r="A105" s="140" t="s">
        <v>1493</v>
      </c>
      <c r="B105" s="141" t="s">
        <v>1494</v>
      </c>
      <c r="C105" s="141">
        <v>354</v>
      </c>
      <c r="D105" s="141" t="s">
        <v>1495</v>
      </c>
      <c r="E105" s="141">
        <v>369</v>
      </c>
      <c r="F105" s="141" t="s">
        <v>1496</v>
      </c>
      <c r="G105" s="141">
        <v>363</v>
      </c>
      <c r="H105" s="141" t="s">
        <v>1497</v>
      </c>
      <c r="I105" s="141">
        <v>366</v>
      </c>
      <c r="J105" s="141" t="s">
        <v>1498</v>
      </c>
      <c r="K105" s="141">
        <v>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AA5C-84CD-45B6-8677-BE9A8C8B0F0F}">
  <sheetPr filterMode="1"/>
  <dimension ref="A1:U89"/>
  <sheetViews>
    <sheetView topLeftCell="A34" zoomScale="70" zoomScaleNormal="70" workbookViewId="0">
      <selection activeCell="J36" sqref="J36"/>
    </sheetView>
  </sheetViews>
  <sheetFormatPr defaultRowHeight="14.5" x14ac:dyDescent="0.35"/>
  <cols>
    <col min="2" max="2" width="32.1796875" customWidth="1"/>
    <col min="3" max="3" width="19" customWidth="1"/>
    <col min="4" max="4" width="15.1796875" customWidth="1"/>
    <col min="12" max="12" width="32.453125" bestFit="1" customWidth="1"/>
    <col min="13" max="16" width="32.453125" customWidth="1"/>
    <col min="17" max="17" width="25.1796875" customWidth="1"/>
    <col min="20" max="20" width="17.453125" customWidth="1"/>
  </cols>
  <sheetData>
    <row r="1" spans="1:21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21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2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2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21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21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  <c r="L6" s="1" t="s">
        <v>1082</v>
      </c>
      <c r="M6" s="1">
        <v>2018</v>
      </c>
      <c r="N6" s="1">
        <v>2019</v>
      </c>
      <c r="O6" s="1">
        <v>2020</v>
      </c>
      <c r="P6" s="1">
        <v>2021</v>
      </c>
      <c r="Q6" s="1">
        <v>2022</v>
      </c>
      <c r="T6" t="s">
        <v>1082</v>
      </c>
      <c r="U6" t="s">
        <v>1088</v>
      </c>
    </row>
    <row r="7" spans="1:21" x14ac:dyDescent="0.35">
      <c r="A7" s="17" t="s">
        <v>177</v>
      </c>
      <c r="B7" s="18" t="s">
        <v>182</v>
      </c>
      <c r="C7" s="17" t="s">
        <v>1089</v>
      </c>
      <c r="D7" s="17" t="s">
        <v>1102</v>
      </c>
      <c r="E7" s="30">
        <v>66.8</v>
      </c>
      <c r="F7" s="30">
        <v>66</v>
      </c>
      <c r="G7" s="30">
        <v>65.8</v>
      </c>
      <c r="H7" s="30">
        <v>65.5</v>
      </c>
      <c r="I7" s="30">
        <v>63.6</v>
      </c>
      <c r="J7" s="30">
        <v>62.5</v>
      </c>
      <c r="L7" s="17" t="s">
        <v>205</v>
      </c>
      <c r="M7" s="85">
        <f>E7</f>
        <v>66.8</v>
      </c>
      <c r="N7" s="85">
        <f t="shared" ref="N7:Q14" si="0">F7</f>
        <v>66</v>
      </c>
      <c r="O7" s="85">
        <f t="shared" si="0"/>
        <v>65.8</v>
      </c>
      <c r="P7" s="85">
        <f t="shared" si="0"/>
        <v>65.5</v>
      </c>
      <c r="Q7" s="85">
        <f t="shared" si="0"/>
        <v>63.6</v>
      </c>
      <c r="T7" t="s">
        <v>1089</v>
      </c>
      <c r="U7">
        <v>62.5</v>
      </c>
    </row>
    <row r="8" spans="1:21" x14ac:dyDescent="0.35">
      <c r="A8" s="17" t="s">
        <v>177</v>
      </c>
      <c r="B8" s="18" t="s">
        <v>182</v>
      </c>
      <c r="C8" s="17" t="s">
        <v>1090</v>
      </c>
      <c r="D8" s="17" t="s">
        <v>1102</v>
      </c>
      <c r="E8" s="30">
        <v>14.5</v>
      </c>
      <c r="F8" s="30">
        <v>13.8</v>
      </c>
      <c r="G8" s="30">
        <v>12.8</v>
      </c>
      <c r="H8" s="30">
        <v>12.2</v>
      </c>
      <c r="I8" s="30">
        <v>11.9</v>
      </c>
      <c r="J8" s="30">
        <v>11.8</v>
      </c>
      <c r="L8" s="17" t="s">
        <v>1499</v>
      </c>
      <c r="M8" s="85">
        <f t="shared" ref="M8:M12" si="1">E8</f>
        <v>14.5</v>
      </c>
      <c r="N8" s="85">
        <f t="shared" si="0"/>
        <v>13.8</v>
      </c>
      <c r="O8" s="85">
        <f t="shared" si="0"/>
        <v>12.8</v>
      </c>
      <c r="P8" s="85">
        <f t="shared" si="0"/>
        <v>12.2</v>
      </c>
      <c r="Q8" s="85">
        <f t="shared" si="0"/>
        <v>11.9</v>
      </c>
      <c r="T8" t="s">
        <v>1090</v>
      </c>
      <c r="U8">
        <v>11.8</v>
      </c>
    </row>
    <row r="9" spans="1:21" x14ac:dyDescent="0.35">
      <c r="A9" s="17" t="s">
        <v>177</v>
      </c>
      <c r="B9" s="18" t="s">
        <v>182</v>
      </c>
      <c r="C9" s="17" t="s">
        <v>1500</v>
      </c>
      <c r="D9" s="17" t="s">
        <v>1102</v>
      </c>
      <c r="E9" s="30">
        <v>3.5</v>
      </c>
      <c r="F9" s="30">
        <v>3.9</v>
      </c>
      <c r="G9" s="30">
        <v>4.4000000000000004</v>
      </c>
      <c r="H9" s="30">
        <v>5.6</v>
      </c>
      <c r="I9" s="30">
        <v>6.9</v>
      </c>
      <c r="J9" s="30">
        <v>7.5</v>
      </c>
      <c r="L9" s="17" t="s">
        <v>264</v>
      </c>
      <c r="M9" s="85">
        <f t="shared" si="1"/>
        <v>3.5</v>
      </c>
      <c r="N9" s="85">
        <f t="shared" si="0"/>
        <v>3.9</v>
      </c>
      <c r="O9" s="85">
        <f t="shared" si="0"/>
        <v>4.4000000000000004</v>
      </c>
      <c r="P9" s="85">
        <f t="shared" si="0"/>
        <v>5.6</v>
      </c>
      <c r="Q9" s="85">
        <f t="shared" si="0"/>
        <v>6.9</v>
      </c>
      <c r="T9" t="s">
        <v>1500</v>
      </c>
      <c r="U9">
        <v>7.5</v>
      </c>
    </row>
    <row r="10" spans="1:21" x14ac:dyDescent="0.35">
      <c r="A10" s="17" t="s">
        <v>177</v>
      </c>
      <c r="B10" s="18" t="s">
        <v>182</v>
      </c>
      <c r="C10" s="17" t="s">
        <v>1501</v>
      </c>
      <c r="D10" s="17" t="s">
        <v>1102</v>
      </c>
      <c r="E10" s="30">
        <v>5</v>
      </c>
      <c r="F10" s="30">
        <v>5.3</v>
      </c>
      <c r="G10" s="30">
        <v>5.6</v>
      </c>
      <c r="H10" s="30">
        <v>5.8</v>
      </c>
      <c r="I10" s="30">
        <v>6.8</v>
      </c>
      <c r="J10" s="30">
        <v>7.3</v>
      </c>
      <c r="L10" s="17" t="s">
        <v>1502</v>
      </c>
      <c r="M10" s="85">
        <f t="shared" si="1"/>
        <v>5</v>
      </c>
      <c r="N10" s="85">
        <f t="shared" si="0"/>
        <v>5.3</v>
      </c>
      <c r="O10" s="85">
        <f t="shared" si="0"/>
        <v>5.6</v>
      </c>
      <c r="P10" s="85">
        <f t="shared" si="0"/>
        <v>5.8</v>
      </c>
      <c r="Q10" s="85">
        <f t="shared" si="0"/>
        <v>6.8</v>
      </c>
      <c r="T10" t="s">
        <v>1501</v>
      </c>
      <c r="U10">
        <v>7.3</v>
      </c>
    </row>
    <row r="11" spans="1:21" x14ac:dyDescent="0.35">
      <c r="A11" s="17" t="s">
        <v>177</v>
      </c>
      <c r="B11" s="18" t="s">
        <v>182</v>
      </c>
      <c r="C11" s="17" t="s">
        <v>1503</v>
      </c>
      <c r="D11" s="17" t="s">
        <v>1102</v>
      </c>
      <c r="E11" s="30">
        <v>4.2</v>
      </c>
      <c r="F11" s="30">
        <v>3.9</v>
      </c>
      <c r="G11" s="30">
        <v>3.9</v>
      </c>
      <c r="H11" s="30">
        <v>4</v>
      </c>
      <c r="I11" s="30">
        <v>4.2</v>
      </c>
      <c r="J11" s="30">
        <v>4.3</v>
      </c>
      <c r="L11" s="17" t="s">
        <v>1504</v>
      </c>
      <c r="M11" s="85">
        <f t="shared" si="1"/>
        <v>4.2</v>
      </c>
      <c r="N11" s="85">
        <f t="shared" si="0"/>
        <v>3.9</v>
      </c>
      <c r="O11" s="85">
        <f t="shared" si="0"/>
        <v>3.9</v>
      </c>
      <c r="P11" s="85">
        <f t="shared" si="0"/>
        <v>4</v>
      </c>
      <c r="Q11" s="85">
        <f t="shared" si="0"/>
        <v>4.2</v>
      </c>
      <c r="T11" t="s">
        <v>130</v>
      </c>
      <c r="U11">
        <f>4.3+U12+U13</f>
        <v>10.9</v>
      </c>
    </row>
    <row r="12" spans="1:21" x14ac:dyDescent="0.35">
      <c r="A12" s="17" t="s">
        <v>177</v>
      </c>
      <c r="B12" s="18" t="s">
        <v>182</v>
      </c>
      <c r="C12" s="17" t="s">
        <v>1092</v>
      </c>
      <c r="D12" s="17" t="s">
        <v>1102</v>
      </c>
      <c r="E12" s="30">
        <v>2</v>
      </c>
      <c r="F12" s="30">
        <v>2.2000000000000002</v>
      </c>
      <c r="G12" s="30">
        <v>2.5</v>
      </c>
      <c r="H12" s="30">
        <v>2.5</v>
      </c>
      <c r="I12" s="30">
        <v>2.6</v>
      </c>
      <c r="J12" s="30">
        <v>2.7</v>
      </c>
      <c r="L12" s="17" t="s">
        <v>1505</v>
      </c>
      <c r="M12" s="85">
        <f t="shared" si="1"/>
        <v>2</v>
      </c>
      <c r="N12" s="85">
        <f t="shared" si="0"/>
        <v>2.2000000000000002</v>
      </c>
      <c r="O12" s="85">
        <f t="shared" si="0"/>
        <v>2.5</v>
      </c>
      <c r="P12" s="85">
        <f t="shared" si="0"/>
        <v>2.5</v>
      </c>
      <c r="Q12" s="85">
        <f t="shared" si="0"/>
        <v>2.6</v>
      </c>
      <c r="T12" t="s">
        <v>1092</v>
      </c>
      <c r="U12">
        <v>2.7</v>
      </c>
    </row>
    <row r="13" spans="1:21" x14ac:dyDescent="0.35">
      <c r="A13" s="17" t="s">
        <v>177</v>
      </c>
      <c r="B13" s="18" t="s">
        <v>182</v>
      </c>
      <c r="C13" s="17" t="s">
        <v>1506</v>
      </c>
      <c r="D13" s="17" t="s">
        <v>1102</v>
      </c>
      <c r="E13" s="20" t="s">
        <v>202</v>
      </c>
      <c r="F13" s="20" t="s">
        <v>202</v>
      </c>
      <c r="G13" s="20" t="s">
        <v>202</v>
      </c>
      <c r="H13" s="20" t="s">
        <v>202</v>
      </c>
      <c r="I13" s="20" t="s">
        <v>202</v>
      </c>
      <c r="J13" s="20" t="s">
        <v>202</v>
      </c>
      <c r="L13" s="17" t="s">
        <v>130</v>
      </c>
      <c r="M13" s="85">
        <f>E15</f>
        <v>3.9</v>
      </c>
      <c r="N13" s="85">
        <f t="shared" ref="N13:Q13" si="2">F15</f>
        <v>4.9000000000000004</v>
      </c>
      <c r="O13" s="85">
        <f t="shared" si="2"/>
        <v>4.9000000000000004</v>
      </c>
      <c r="P13" s="85">
        <f t="shared" si="2"/>
        <v>4.3</v>
      </c>
      <c r="Q13" s="85">
        <f t="shared" si="2"/>
        <v>4</v>
      </c>
      <c r="R13" s="37">
        <f>SUM(Q7:Q13)</f>
        <v>100</v>
      </c>
      <c r="T13" t="s">
        <v>130</v>
      </c>
      <c r="U13">
        <v>3.9</v>
      </c>
    </row>
    <row r="14" spans="1:21" x14ac:dyDescent="0.35">
      <c r="A14" s="17" t="s">
        <v>177</v>
      </c>
      <c r="B14" s="18" t="s">
        <v>182</v>
      </c>
      <c r="C14" s="17" t="s">
        <v>1507</v>
      </c>
      <c r="D14" s="17" t="s">
        <v>1102</v>
      </c>
      <c r="E14" s="20" t="s">
        <v>202</v>
      </c>
      <c r="F14" s="20" t="s">
        <v>202</v>
      </c>
      <c r="G14" s="20" t="s">
        <v>202</v>
      </c>
      <c r="H14" s="20" t="s">
        <v>202</v>
      </c>
      <c r="I14" s="20" t="s">
        <v>202</v>
      </c>
      <c r="J14" s="20" t="s">
        <v>202</v>
      </c>
      <c r="L14" s="17" t="s">
        <v>31</v>
      </c>
      <c r="M14" s="17"/>
      <c r="N14" s="85" t="str">
        <f t="shared" si="0"/>
        <v>-</v>
      </c>
      <c r="O14" s="85" t="str">
        <f t="shared" si="0"/>
        <v>-</v>
      </c>
      <c r="P14" s="85" t="str">
        <f t="shared" si="0"/>
        <v>-</v>
      </c>
      <c r="Q14" s="85" t="str">
        <f t="shared" si="0"/>
        <v>-</v>
      </c>
    </row>
    <row r="15" spans="1:21" x14ac:dyDescent="0.35">
      <c r="A15" s="17" t="s">
        <v>177</v>
      </c>
      <c r="B15" s="18" t="s">
        <v>182</v>
      </c>
      <c r="C15" s="17" t="s">
        <v>130</v>
      </c>
      <c r="D15" s="17" t="s">
        <v>1102</v>
      </c>
      <c r="E15" s="30">
        <v>3.9</v>
      </c>
      <c r="F15" s="30">
        <v>4.9000000000000004</v>
      </c>
      <c r="G15" s="30">
        <v>4.9000000000000004</v>
      </c>
      <c r="H15" s="30">
        <v>4.3</v>
      </c>
      <c r="I15" s="30">
        <v>4</v>
      </c>
      <c r="J15" s="30">
        <v>3.9</v>
      </c>
    </row>
    <row r="16" spans="1:21" x14ac:dyDescent="0.35">
      <c r="A16" s="17" t="s">
        <v>177</v>
      </c>
      <c r="B16" s="18" t="s">
        <v>182</v>
      </c>
      <c r="C16" s="17" t="s">
        <v>31</v>
      </c>
      <c r="D16" s="17" t="s">
        <v>1102</v>
      </c>
      <c r="E16" s="30">
        <v>100</v>
      </c>
      <c r="F16" s="30">
        <v>100</v>
      </c>
      <c r="G16" s="30">
        <v>100</v>
      </c>
      <c r="H16" s="30">
        <v>100</v>
      </c>
      <c r="I16" s="30">
        <v>100</v>
      </c>
      <c r="J16" s="30">
        <v>100</v>
      </c>
    </row>
    <row r="17" spans="1:21" x14ac:dyDescent="0.35">
      <c r="Q17" s="1" t="s">
        <v>1084</v>
      </c>
      <c r="R17" s="1" t="s">
        <v>1085</v>
      </c>
      <c r="S17" s="1" t="s">
        <v>1086</v>
      </c>
      <c r="T17" s="1" t="s">
        <v>1087</v>
      </c>
      <c r="U17" s="1" t="s">
        <v>1088</v>
      </c>
    </row>
    <row r="18" spans="1:21" x14ac:dyDescent="0.35">
      <c r="A18" s="33" t="s">
        <v>1093</v>
      </c>
      <c r="L18" s="17" t="s">
        <v>1089</v>
      </c>
      <c r="M18" s="17"/>
      <c r="N18" s="17"/>
      <c r="O18" s="17"/>
      <c r="P18" s="17"/>
      <c r="Q18" s="1" t="s">
        <v>1082</v>
      </c>
      <c r="R18" s="1" t="s">
        <v>1085</v>
      </c>
      <c r="S18" s="1" t="s">
        <v>1086</v>
      </c>
      <c r="T18" s="1" t="s">
        <v>1087</v>
      </c>
      <c r="U18" s="30">
        <v>62.5</v>
      </c>
    </row>
    <row r="19" spans="1:21" x14ac:dyDescent="0.35">
      <c r="A19" s="28" t="s">
        <v>1094</v>
      </c>
      <c r="Q19" s="17" t="s">
        <v>1508</v>
      </c>
      <c r="R19">
        <f t="shared" ref="R19:T25" si="3">O7*$H$59/100</f>
        <v>12499.762799999999</v>
      </c>
      <c r="S19">
        <f t="shared" si="3"/>
        <v>12442.772999999997</v>
      </c>
      <c r="T19">
        <f t="shared" si="3"/>
        <v>12081.837600000001</v>
      </c>
    </row>
    <row r="20" spans="1:21" x14ac:dyDescent="0.35">
      <c r="Q20" s="17" t="s">
        <v>1090</v>
      </c>
      <c r="R20">
        <f t="shared" si="3"/>
        <v>2431.5647999999997</v>
      </c>
      <c r="S20">
        <f t="shared" si="3"/>
        <v>2317.5851999999995</v>
      </c>
      <c r="T20">
        <f t="shared" si="3"/>
        <v>2260.5953999999997</v>
      </c>
    </row>
    <row r="21" spans="1:21" x14ac:dyDescent="0.35">
      <c r="A21" s="28" t="s">
        <v>1509</v>
      </c>
      <c r="O21">
        <f>O6</f>
        <v>2020</v>
      </c>
      <c r="P21">
        <f>P6</f>
        <v>2021</v>
      </c>
      <c r="Q21" s="17" t="s">
        <v>1500</v>
      </c>
      <c r="R21">
        <f t="shared" si="3"/>
        <v>835.85039999999992</v>
      </c>
      <c r="S21">
        <f t="shared" si="3"/>
        <v>1063.8095999999998</v>
      </c>
      <c r="T21">
        <f t="shared" si="3"/>
        <v>1310.7654</v>
      </c>
    </row>
    <row r="22" spans="1:21" x14ac:dyDescent="0.35">
      <c r="A22" s="28" t="s">
        <v>1096</v>
      </c>
      <c r="Q22" s="17" t="s">
        <v>1501</v>
      </c>
      <c r="R22">
        <f t="shared" si="3"/>
        <v>1063.8095999999998</v>
      </c>
      <c r="S22">
        <f t="shared" si="3"/>
        <v>1101.8027999999999</v>
      </c>
      <c r="T22">
        <f t="shared" si="3"/>
        <v>1291.7687999999998</v>
      </c>
    </row>
    <row r="23" spans="1:21" x14ac:dyDescent="0.35">
      <c r="Q23" s="17" t="s">
        <v>1510</v>
      </c>
      <c r="R23">
        <f t="shared" si="3"/>
        <v>740.86739999999986</v>
      </c>
      <c r="S23">
        <f t="shared" si="3"/>
        <v>759.86399999999992</v>
      </c>
      <c r="T23">
        <f t="shared" si="3"/>
        <v>797.85720000000003</v>
      </c>
    </row>
    <row r="24" spans="1:21" x14ac:dyDescent="0.35">
      <c r="Q24" s="17" t="s">
        <v>1092</v>
      </c>
      <c r="R24">
        <f t="shared" si="3"/>
        <v>474.91500000000002</v>
      </c>
      <c r="S24">
        <f t="shared" si="3"/>
        <v>474.91500000000002</v>
      </c>
      <c r="T24">
        <f t="shared" si="3"/>
        <v>493.91159999999996</v>
      </c>
    </row>
    <row r="25" spans="1:21" x14ac:dyDescent="0.35">
      <c r="A25" s="31"/>
      <c r="B25" s="31"/>
      <c r="C25" s="31"/>
      <c r="D25" s="31"/>
      <c r="E25" s="31"/>
      <c r="F25" s="31"/>
      <c r="G25" s="31"/>
      <c r="H25" s="31"/>
      <c r="Q25" s="17" t="s">
        <v>130</v>
      </c>
      <c r="R25">
        <f t="shared" si="3"/>
        <v>930.83339999999998</v>
      </c>
      <c r="S25">
        <f t="shared" si="3"/>
        <v>816.85379999999986</v>
      </c>
      <c r="T25">
        <f t="shared" si="3"/>
        <v>759.86399999999992</v>
      </c>
    </row>
    <row r="26" spans="1:21" x14ac:dyDescent="0.35">
      <c r="A26" s="32"/>
      <c r="B26" s="32"/>
      <c r="C26" s="32"/>
      <c r="D26" s="32"/>
      <c r="E26" s="32"/>
      <c r="F26" s="32"/>
      <c r="G26" s="32"/>
      <c r="H26" s="32"/>
    </row>
    <row r="27" spans="1:21" x14ac:dyDescent="0.35">
      <c r="A27" s="31"/>
      <c r="B27" s="31"/>
      <c r="C27" s="31"/>
      <c r="D27" s="31"/>
      <c r="E27" s="31"/>
      <c r="F27" s="31"/>
      <c r="G27" s="31"/>
      <c r="H27" s="31"/>
    </row>
    <row r="28" spans="1:21" x14ac:dyDescent="0.35">
      <c r="A28" s="31"/>
      <c r="B28" s="31"/>
      <c r="C28" s="31"/>
      <c r="D28" s="31"/>
      <c r="E28" s="31"/>
      <c r="F28" s="31"/>
      <c r="G28" s="31"/>
      <c r="H28" s="31"/>
    </row>
    <row r="29" spans="1:21" x14ac:dyDescent="0.35">
      <c r="A29" s="31" t="s">
        <v>1097</v>
      </c>
      <c r="B29" s="28"/>
      <c r="C29" s="28"/>
      <c r="D29" s="28"/>
      <c r="E29" s="28"/>
      <c r="F29" s="28"/>
      <c r="G29" s="28"/>
      <c r="H29" s="28"/>
    </row>
    <row r="30" spans="1:21" x14ac:dyDescent="0.35">
      <c r="A30" s="1" t="s">
        <v>173</v>
      </c>
      <c r="B30" s="1" t="s">
        <v>174</v>
      </c>
      <c r="C30" s="1" t="s">
        <v>1082</v>
      </c>
      <c r="D30" s="1" t="s">
        <v>1098</v>
      </c>
      <c r="E30" s="1" t="s">
        <v>175</v>
      </c>
      <c r="F30" s="1" t="s">
        <v>1099</v>
      </c>
      <c r="G30" s="1" t="s">
        <v>1100</v>
      </c>
      <c r="H30" s="1" t="s">
        <v>1101</v>
      </c>
    </row>
    <row r="31" spans="1:21" x14ac:dyDescent="0.35">
      <c r="A31" s="17" t="s">
        <v>177</v>
      </c>
      <c r="B31" s="18" t="s">
        <v>182</v>
      </c>
      <c r="C31" s="17" t="s">
        <v>1089</v>
      </c>
      <c r="D31" s="17" t="s">
        <v>1102</v>
      </c>
      <c r="E31" s="17" t="s">
        <v>0</v>
      </c>
      <c r="F31" s="30">
        <v>43.7</v>
      </c>
      <c r="G31" s="30">
        <v>9.5</v>
      </c>
      <c r="H31" s="30">
        <v>4328.8</v>
      </c>
    </row>
    <row r="32" spans="1:21" x14ac:dyDescent="0.35">
      <c r="A32" s="17" t="s">
        <v>177</v>
      </c>
      <c r="B32" s="18" t="s">
        <v>182</v>
      </c>
      <c r="C32" s="17" t="s">
        <v>1103</v>
      </c>
      <c r="D32" s="17" t="s">
        <v>1102</v>
      </c>
      <c r="E32" s="17" t="s">
        <v>0</v>
      </c>
      <c r="F32" s="30">
        <v>23.4</v>
      </c>
      <c r="G32" s="30">
        <v>5.4</v>
      </c>
      <c r="H32" s="30">
        <v>503.6</v>
      </c>
    </row>
    <row r="33" spans="1:8" x14ac:dyDescent="0.35">
      <c r="A33" s="17" t="s">
        <v>177</v>
      </c>
      <c r="B33" s="18" t="s">
        <v>182</v>
      </c>
      <c r="C33" s="17" t="s">
        <v>250</v>
      </c>
      <c r="D33" s="17" t="s">
        <v>1102</v>
      </c>
      <c r="E33" s="17" t="s">
        <v>0</v>
      </c>
      <c r="F33" s="30">
        <v>191.8</v>
      </c>
      <c r="G33" s="30">
        <v>30.7</v>
      </c>
      <c r="H33" s="30">
        <v>1008.9</v>
      </c>
    </row>
    <row r="34" spans="1:8" x14ac:dyDescent="0.35">
      <c r="A34" s="17" t="s">
        <v>177</v>
      </c>
      <c r="B34" s="18" t="s">
        <v>182</v>
      </c>
      <c r="C34" s="17" t="s">
        <v>1501</v>
      </c>
      <c r="D34" s="17" t="s">
        <v>1102</v>
      </c>
      <c r="E34" s="17" t="s">
        <v>0</v>
      </c>
      <c r="F34" s="30">
        <v>104.9</v>
      </c>
      <c r="G34" s="30">
        <v>19.600000000000001</v>
      </c>
      <c r="H34" s="30">
        <v>776.1</v>
      </c>
    </row>
    <row r="35" spans="1:8" x14ac:dyDescent="0.35">
      <c r="A35" s="17" t="s">
        <v>177</v>
      </c>
      <c r="B35" s="18" t="s">
        <v>182</v>
      </c>
      <c r="C35" s="17" t="s">
        <v>1503</v>
      </c>
      <c r="D35" s="17" t="s">
        <v>1102</v>
      </c>
      <c r="E35" s="17" t="s">
        <v>0</v>
      </c>
      <c r="F35" s="30">
        <v>52.1</v>
      </c>
      <c r="G35" s="30">
        <v>11.1</v>
      </c>
      <c r="H35" s="30">
        <v>321</v>
      </c>
    </row>
    <row r="36" spans="1:8" x14ac:dyDescent="0.35">
      <c r="A36" s="17" t="s">
        <v>177</v>
      </c>
      <c r="B36" s="18" t="s">
        <v>182</v>
      </c>
      <c r="C36" s="17" t="s">
        <v>1092</v>
      </c>
      <c r="D36" s="17" t="s">
        <v>1102</v>
      </c>
      <c r="E36" s="17" t="s">
        <v>0</v>
      </c>
      <c r="F36" s="30">
        <v>99</v>
      </c>
      <c r="G36" s="30">
        <v>18.8</v>
      </c>
      <c r="H36" s="30">
        <v>294.60000000000002</v>
      </c>
    </row>
    <row r="37" spans="1:8" x14ac:dyDescent="0.35">
      <c r="A37" s="17" t="s">
        <v>177</v>
      </c>
      <c r="B37" s="18" t="s">
        <v>182</v>
      </c>
      <c r="C37" s="17" t="s">
        <v>1506</v>
      </c>
      <c r="D37" s="17" t="s">
        <v>1102</v>
      </c>
      <c r="E37" s="17" t="s">
        <v>0</v>
      </c>
      <c r="F37" s="20" t="s">
        <v>202</v>
      </c>
      <c r="G37" s="20" t="s">
        <v>202</v>
      </c>
      <c r="H37" s="20" t="s">
        <v>202</v>
      </c>
    </row>
    <row r="38" spans="1:8" x14ac:dyDescent="0.35">
      <c r="A38" s="17" t="s">
        <v>177</v>
      </c>
      <c r="B38" s="18" t="s">
        <v>182</v>
      </c>
      <c r="C38" s="17" t="s">
        <v>1507</v>
      </c>
      <c r="D38" s="17" t="s">
        <v>1102</v>
      </c>
      <c r="E38" s="17" t="s">
        <v>0</v>
      </c>
      <c r="F38" s="20" t="s">
        <v>202</v>
      </c>
      <c r="G38" s="20" t="s">
        <v>202</v>
      </c>
      <c r="H38" s="20" t="s">
        <v>202</v>
      </c>
    </row>
    <row r="39" spans="1:8" x14ac:dyDescent="0.35">
      <c r="A39" s="17" t="s">
        <v>177</v>
      </c>
      <c r="B39" s="18" t="s">
        <v>182</v>
      </c>
      <c r="C39" s="17" t="s">
        <v>130</v>
      </c>
      <c r="D39" s="17" t="s">
        <v>1102</v>
      </c>
      <c r="E39" s="17" t="s">
        <v>0</v>
      </c>
      <c r="F39" s="30">
        <v>54.4</v>
      </c>
      <c r="G39" s="30">
        <v>11.5</v>
      </c>
      <c r="H39" s="30">
        <v>317.10000000000002</v>
      </c>
    </row>
    <row r="40" spans="1:8" x14ac:dyDescent="0.35">
      <c r="A40" s="17" t="s">
        <v>177</v>
      </c>
      <c r="B40" s="18" t="s">
        <v>182</v>
      </c>
      <c r="C40" s="17" t="s">
        <v>31</v>
      </c>
      <c r="D40" s="17" t="s">
        <v>1102</v>
      </c>
      <c r="E40" s="17" t="s">
        <v>0</v>
      </c>
      <c r="F40" s="30">
        <v>50.9</v>
      </c>
      <c r="G40" s="30">
        <v>10.8</v>
      </c>
      <c r="H40" s="30">
        <v>7550.1</v>
      </c>
    </row>
    <row r="42" spans="1:8" x14ac:dyDescent="0.35">
      <c r="A42" s="33" t="s">
        <v>1093</v>
      </c>
    </row>
    <row r="43" spans="1:8" x14ac:dyDescent="0.35">
      <c r="A43" s="28" t="s">
        <v>1094</v>
      </c>
    </row>
    <row r="45" spans="1:8" x14ac:dyDescent="0.35">
      <c r="A45" s="28" t="s">
        <v>1511</v>
      </c>
      <c r="C45" s="1" t="s">
        <v>1082</v>
      </c>
      <c r="D45" s="1" t="s">
        <v>1100</v>
      </c>
    </row>
    <row r="46" spans="1:8" x14ac:dyDescent="0.35">
      <c r="A46" s="28" t="s">
        <v>1096</v>
      </c>
      <c r="C46" s="17" t="s">
        <v>1089</v>
      </c>
      <c r="D46" s="82">
        <f>G31/100</f>
        <v>9.5000000000000001E-2</v>
      </c>
    </row>
    <row r="47" spans="1:8" x14ac:dyDescent="0.35">
      <c r="C47" s="17" t="s">
        <v>1090</v>
      </c>
      <c r="D47" s="82">
        <f t="shared" ref="D47:D51" si="4">G32/100</f>
        <v>5.4000000000000006E-2</v>
      </c>
    </row>
    <row r="48" spans="1:8" x14ac:dyDescent="0.35">
      <c r="C48" s="17" t="s">
        <v>1500</v>
      </c>
      <c r="D48" s="82">
        <f t="shared" si="4"/>
        <v>0.307</v>
      </c>
    </row>
    <row r="49" spans="1:18" x14ac:dyDescent="0.35">
      <c r="C49" s="17" t="s">
        <v>1501</v>
      </c>
      <c r="D49" s="82">
        <f t="shared" si="4"/>
        <v>0.19600000000000001</v>
      </c>
    </row>
    <row r="50" spans="1:18" x14ac:dyDescent="0.35">
      <c r="C50" s="17" t="s">
        <v>1503</v>
      </c>
      <c r="D50" s="82">
        <f t="shared" si="4"/>
        <v>0.111</v>
      </c>
    </row>
    <row r="51" spans="1:18" x14ac:dyDescent="0.35">
      <c r="C51" s="17" t="s">
        <v>1092</v>
      </c>
      <c r="D51" s="82">
        <f t="shared" si="4"/>
        <v>0.188</v>
      </c>
    </row>
    <row r="52" spans="1:18" x14ac:dyDescent="0.35">
      <c r="C52" s="17" t="s">
        <v>130</v>
      </c>
      <c r="D52" s="84">
        <f>G39/100</f>
        <v>0.115</v>
      </c>
    </row>
    <row r="53" spans="1:18" x14ac:dyDescent="0.35">
      <c r="C53" s="17" t="s">
        <v>1106</v>
      </c>
      <c r="D53" s="82">
        <f>AVERAGE(D46:D52)</f>
        <v>0.1522857142857143</v>
      </c>
    </row>
    <row r="58" spans="1:18" x14ac:dyDescent="0.35">
      <c r="A58" s="1" t="s">
        <v>173</v>
      </c>
      <c r="B58" s="1" t="s">
        <v>174</v>
      </c>
      <c r="C58" s="1" t="s">
        <v>1098</v>
      </c>
      <c r="D58" s="1" t="s">
        <v>175</v>
      </c>
      <c r="E58" s="1" t="s">
        <v>1117</v>
      </c>
      <c r="F58" s="1" t="s">
        <v>1083</v>
      </c>
      <c r="G58" s="1" t="s">
        <v>1084</v>
      </c>
      <c r="H58" s="1" t="s">
        <v>1085</v>
      </c>
      <c r="I58" s="1" t="s">
        <v>1086</v>
      </c>
      <c r="J58" s="1" t="s">
        <v>1087</v>
      </c>
      <c r="K58" s="1" t="s">
        <v>1088</v>
      </c>
    </row>
    <row r="59" spans="1:18" x14ac:dyDescent="0.35">
      <c r="A59" s="17" t="s">
        <v>177</v>
      </c>
      <c r="B59" s="18" t="s">
        <v>182</v>
      </c>
      <c r="C59" s="17" t="s">
        <v>1102</v>
      </c>
      <c r="D59" s="17" t="s">
        <v>0</v>
      </c>
      <c r="E59" s="17" t="s">
        <v>1118</v>
      </c>
      <c r="F59" s="30">
        <v>14821.2</v>
      </c>
      <c r="G59" s="30">
        <v>17024.2</v>
      </c>
      <c r="H59" s="30">
        <v>18996.599999999999</v>
      </c>
      <c r="I59" s="30">
        <v>20640</v>
      </c>
      <c r="J59" s="30">
        <v>22371.3</v>
      </c>
      <c r="K59" s="30">
        <v>24279.4</v>
      </c>
    </row>
    <row r="61" spans="1:18" x14ac:dyDescent="0.35">
      <c r="A61" s="1" t="s">
        <v>173</v>
      </c>
      <c r="B61" s="1" t="s">
        <v>174</v>
      </c>
      <c r="C61" s="1" t="s">
        <v>1108</v>
      </c>
      <c r="D61" s="1" t="s">
        <v>1109</v>
      </c>
      <c r="E61" s="1" t="s">
        <v>1098</v>
      </c>
      <c r="F61" s="1" t="s">
        <v>1083</v>
      </c>
      <c r="G61" s="1" t="s">
        <v>1084</v>
      </c>
      <c r="H61" s="1" t="s">
        <v>1085</v>
      </c>
      <c r="I61" s="1" t="s">
        <v>1086</v>
      </c>
      <c r="J61" s="1" t="s">
        <v>1087</v>
      </c>
      <c r="K61" s="1" t="s">
        <v>1088</v>
      </c>
      <c r="M61">
        <v>2018</v>
      </c>
      <c r="N61">
        <v>2019</v>
      </c>
      <c r="O61">
        <v>2020</v>
      </c>
      <c r="P61">
        <v>2021</v>
      </c>
      <c r="Q61">
        <v>2022</v>
      </c>
    </row>
    <row r="62" spans="1:18" x14ac:dyDescent="0.35">
      <c r="A62" s="17" t="s">
        <v>177</v>
      </c>
      <c r="B62" s="18" t="s">
        <v>182</v>
      </c>
      <c r="C62" s="17" t="s">
        <v>1512</v>
      </c>
      <c r="D62" s="17" t="s">
        <v>1089</v>
      </c>
      <c r="E62" s="17" t="s">
        <v>1102</v>
      </c>
      <c r="F62" s="30">
        <v>55.7</v>
      </c>
      <c r="G62" s="30">
        <v>53.8</v>
      </c>
      <c r="H62" s="30">
        <v>52.7</v>
      </c>
      <c r="I62" s="30">
        <v>51.6</v>
      </c>
      <c r="J62" s="30">
        <v>50.1</v>
      </c>
      <c r="K62" s="30">
        <v>49.4</v>
      </c>
      <c r="L62" t="s">
        <v>1513</v>
      </c>
      <c r="M62">
        <f>F62*F59/100</f>
        <v>8255.4084000000003</v>
      </c>
      <c r="N62">
        <f>G62*G59/100</f>
        <v>9159.0195999999996</v>
      </c>
      <c r="O62">
        <f>H62*H59/100</f>
        <v>10011.208199999999</v>
      </c>
      <c r="P62">
        <f>I62*I59/100</f>
        <v>10650.24</v>
      </c>
      <c r="Q62">
        <f>J62*J59/100</f>
        <v>11208.021299999999</v>
      </c>
    </row>
    <row r="63" spans="1:18" x14ac:dyDescent="0.35">
      <c r="A63" s="17" t="s">
        <v>177</v>
      </c>
      <c r="B63" s="18" t="s">
        <v>182</v>
      </c>
      <c r="C63" s="17" t="s">
        <v>1514</v>
      </c>
      <c r="D63" s="17" t="s">
        <v>1090</v>
      </c>
      <c r="E63" s="17" t="s">
        <v>1102</v>
      </c>
      <c r="F63" s="30">
        <v>12.4</v>
      </c>
      <c r="G63" s="30">
        <v>11.9</v>
      </c>
      <c r="H63" s="30">
        <v>11</v>
      </c>
      <c r="I63" s="30">
        <v>10.5</v>
      </c>
      <c r="J63" s="30">
        <v>10.199999999999999</v>
      </c>
      <c r="K63" s="30">
        <v>10.199999999999999</v>
      </c>
      <c r="L63" t="s">
        <v>1513</v>
      </c>
      <c r="M63">
        <v>14821.2</v>
      </c>
      <c r="N63">
        <v>17024.2</v>
      </c>
      <c r="O63">
        <v>18996.599999999999</v>
      </c>
      <c r="P63">
        <v>20640</v>
      </c>
      <c r="Q63">
        <v>22371.3</v>
      </c>
      <c r="R63">
        <v>24279.4</v>
      </c>
    </row>
    <row r="64" spans="1:18" x14ac:dyDescent="0.35">
      <c r="A64" s="17" t="s">
        <v>177</v>
      </c>
      <c r="B64" s="18" t="s">
        <v>182</v>
      </c>
      <c r="C64" s="17" t="s">
        <v>1515</v>
      </c>
      <c r="D64" s="17" t="s">
        <v>1089</v>
      </c>
      <c r="E64" s="17" t="s">
        <v>1102</v>
      </c>
      <c r="F64" s="30">
        <v>8.1999999999999993</v>
      </c>
      <c r="G64" s="30">
        <v>9.1</v>
      </c>
      <c r="H64" s="30">
        <v>9.6999999999999993</v>
      </c>
      <c r="I64" s="30">
        <v>10.4</v>
      </c>
      <c r="J64" s="30">
        <v>10</v>
      </c>
      <c r="K64" s="30">
        <v>9.6</v>
      </c>
    </row>
    <row r="65" spans="1:13" x14ac:dyDescent="0.35">
      <c r="A65" s="17" t="s">
        <v>177</v>
      </c>
      <c r="B65" s="18" t="s">
        <v>182</v>
      </c>
      <c r="C65" s="17" t="s">
        <v>1516</v>
      </c>
      <c r="D65" s="17" t="s">
        <v>1500</v>
      </c>
      <c r="E65" s="17" t="s">
        <v>1102</v>
      </c>
      <c r="F65" s="30">
        <v>3.5</v>
      </c>
      <c r="G65" s="30">
        <v>3.9</v>
      </c>
      <c r="H65" s="30">
        <v>4.4000000000000004</v>
      </c>
      <c r="I65" s="30">
        <v>5.6</v>
      </c>
      <c r="J65" s="30">
        <v>6.9</v>
      </c>
      <c r="K65" s="30">
        <v>7.5</v>
      </c>
    </row>
    <row r="66" spans="1:13" x14ac:dyDescent="0.35">
      <c r="A66" s="17" t="s">
        <v>177</v>
      </c>
      <c r="B66" s="18" t="s">
        <v>182</v>
      </c>
      <c r="C66" s="17" t="s">
        <v>1517</v>
      </c>
      <c r="D66" s="17" t="s">
        <v>1501</v>
      </c>
      <c r="E66" s="17" t="s">
        <v>1102</v>
      </c>
      <c r="F66" s="30">
        <v>5</v>
      </c>
      <c r="G66" s="30">
        <v>5.3</v>
      </c>
      <c r="H66" s="30">
        <v>5.6</v>
      </c>
      <c r="I66" s="30">
        <v>5.8</v>
      </c>
      <c r="J66" s="30">
        <v>6.8</v>
      </c>
      <c r="K66" s="30">
        <v>7.3</v>
      </c>
      <c r="M66" s="84">
        <f>_xlfn.RRI(4,M62,Q62)</f>
        <v>7.9437735257541053E-2</v>
      </c>
    </row>
    <row r="67" spans="1:13" x14ac:dyDescent="0.35">
      <c r="A67" s="17" t="s">
        <v>177</v>
      </c>
      <c r="B67" s="18" t="s">
        <v>182</v>
      </c>
      <c r="C67" s="17" t="s">
        <v>1518</v>
      </c>
      <c r="D67" s="17" t="s">
        <v>1089</v>
      </c>
      <c r="E67" s="17" t="s">
        <v>1102</v>
      </c>
      <c r="F67" s="30">
        <v>2.9</v>
      </c>
      <c r="G67" s="30">
        <v>3.1</v>
      </c>
      <c r="H67" s="30">
        <v>3.4</v>
      </c>
      <c r="I67" s="30">
        <v>3.6</v>
      </c>
      <c r="J67" s="30">
        <v>3.5</v>
      </c>
      <c r="K67" s="30">
        <v>3.4</v>
      </c>
      <c r="M67" s="84">
        <f>_xlfn.RRI(4,M63,Q63)</f>
        <v>0.10841390027714337</v>
      </c>
    </row>
    <row r="68" spans="1:13" hidden="1" x14ac:dyDescent="0.35">
      <c r="A68" s="17" t="s">
        <v>177</v>
      </c>
      <c r="B68" s="18" t="s">
        <v>182</v>
      </c>
      <c r="C68" s="17" t="s">
        <v>1519</v>
      </c>
      <c r="D68" s="17" t="s">
        <v>1503</v>
      </c>
      <c r="E68" s="17" t="s">
        <v>1102</v>
      </c>
      <c r="F68" s="30">
        <v>2.8</v>
      </c>
      <c r="G68" s="30">
        <v>2.7</v>
      </c>
      <c r="H68" s="30">
        <v>2.8</v>
      </c>
      <c r="I68" s="30">
        <v>2.8</v>
      </c>
      <c r="J68" s="30">
        <v>2.9</v>
      </c>
      <c r="K68" s="30">
        <v>3.1</v>
      </c>
    </row>
    <row r="69" spans="1:13" hidden="1" x14ac:dyDescent="0.35">
      <c r="A69" s="17" t="s">
        <v>177</v>
      </c>
      <c r="B69" s="18" t="s">
        <v>182</v>
      </c>
      <c r="C69" s="17" t="s">
        <v>1115</v>
      </c>
      <c r="D69" s="17" t="s">
        <v>1092</v>
      </c>
      <c r="E69" s="17" t="s">
        <v>1102</v>
      </c>
      <c r="F69" s="30">
        <v>2</v>
      </c>
      <c r="G69" s="30">
        <v>2.2000000000000002</v>
      </c>
      <c r="H69" s="30">
        <v>2.5</v>
      </c>
      <c r="I69" s="30">
        <v>2.5</v>
      </c>
      <c r="J69" s="30">
        <v>2.6</v>
      </c>
      <c r="K69" s="30">
        <v>2.7</v>
      </c>
    </row>
    <row r="70" spans="1:13" x14ac:dyDescent="0.35">
      <c r="A70" s="17" t="s">
        <v>177</v>
      </c>
      <c r="B70" s="18" t="s">
        <v>182</v>
      </c>
      <c r="C70" s="17" t="s">
        <v>1112</v>
      </c>
      <c r="D70" s="17" t="s">
        <v>1090</v>
      </c>
      <c r="E70" s="17" t="s">
        <v>1102</v>
      </c>
      <c r="F70" s="30">
        <v>2.1</v>
      </c>
      <c r="G70" s="30">
        <v>1.9</v>
      </c>
      <c r="H70" s="30">
        <v>1.8</v>
      </c>
      <c r="I70" s="30">
        <v>1.7</v>
      </c>
      <c r="J70" s="30">
        <v>1.6</v>
      </c>
      <c r="K70" s="30">
        <v>1.6</v>
      </c>
    </row>
    <row r="71" spans="1:13" hidden="1" x14ac:dyDescent="0.35">
      <c r="A71" s="17" t="s">
        <v>177</v>
      </c>
      <c r="B71" s="18" t="s">
        <v>182</v>
      </c>
      <c r="C71" s="17" t="s">
        <v>1520</v>
      </c>
      <c r="D71" s="17" t="s">
        <v>1503</v>
      </c>
      <c r="E71" s="17" t="s">
        <v>1102</v>
      </c>
      <c r="F71" s="30">
        <v>1.4</v>
      </c>
      <c r="G71" s="30">
        <v>1.3</v>
      </c>
      <c r="H71" s="30">
        <v>1.2</v>
      </c>
      <c r="I71" s="30">
        <v>1.2</v>
      </c>
      <c r="J71" s="30">
        <v>1.2</v>
      </c>
      <c r="K71" s="30">
        <v>1.3</v>
      </c>
    </row>
    <row r="72" spans="1:13" hidden="1" x14ac:dyDescent="0.35">
      <c r="A72" s="17" t="s">
        <v>177</v>
      </c>
      <c r="B72" s="18" t="s">
        <v>182</v>
      </c>
      <c r="C72" s="17" t="s">
        <v>1521</v>
      </c>
      <c r="D72" s="17" t="s">
        <v>1507</v>
      </c>
      <c r="E72" s="17" t="s">
        <v>1102</v>
      </c>
      <c r="F72" s="20" t="s">
        <v>202</v>
      </c>
      <c r="G72" s="20" t="s">
        <v>202</v>
      </c>
      <c r="H72" s="20" t="s">
        <v>202</v>
      </c>
      <c r="I72" s="20" t="s">
        <v>202</v>
      </c>
      <c r="J72" s="20" t="s">
        <v>202</v>
      </c>
      <c r="K72" s="20" t="s">
        <v>202</v>
      </c>
    </row>
    <row r="73" spans="1:13" hidden="1" x14ac:dyDescent="0.35">
      <c r="A73" s="17" t="s">
        <v>177</v>
      </c>
      <c r="B73" s="18" t="s">
        <v>182</v>
      </c>
      <c r="C73" s="17" t="s">
        <v>1522</v>
      </c>
      <c r="D73" s="17" t="s">
        <v>1506</v>
      </c>
      <c r="E73" s="17" t="s">
        <v>1102</v>
      </c>
      <c r="F73" s="20" t="s">
        <v>202</v>
      </c>
      <c r="G73" s="20" t="s">
        <v>202</v>
      </c>
      <c r="H73" s="20" t="s">
        <v>202</v>
      </c>
      <c r="I73" s="20" t="s">
        <v>202</v>
      </c>
      <c r="J73" s="20" t="s">
        <v>202</v>
      </c>
      <c r="K73" s="20" t="s">
        <v>202</v>
      </c>
    </row>
    <row r="74" spans="1:13" hidden="1" x14ac:dyDescent="0.35">
      <c r="A74" s="17" t="s">
        <v>177</v>
      </c>
      <c r="B74" s="18" t="s">
        <v>182</v>
      </c>
      <c r="C74" s="17" t="s">
        <v>130</v>
      </c>
      <c r="D74" s="17" t="s">
        <v>130</v>
      </c>
      <c r="E74" s="17" t="s">
        <v>1102</v>
      </c>
      <c r="F74" s="30">
        <v>3.9</v>
      </c>
      <c r="G74" s="30">
        <v>4.9000000000000004</v>
      </c>
      <c r="H74" s="30">
        <v>4.9000000000000004</v>
      </c>
      <c r="I74" s="30">
        <v>4.3</v>
      </c>
      <c r="J74" s="30">
        <v>4</v>
      </c>
      <c r="K74" s="30">
        <v>3.9</v>
      </c>
    </row>
    <row r="75" spans="1:13" hidden="1" x14ac:dyDescent="0.35">
      <c r="A75" s="17" t="s">
        <v>177</v>
      </c>
      <c r="B75" s="18" t="s">
        <v>182</v>
      </c>
      <c r="C75" s="17" t="s">
        <v>31</v>
      </c>
      <c r="D75" s="17" t="s">
        <v>31</v>
      </c>
      <c r="E75" s="17" t="s">
        <v>1102</v>
      </c>
      <c r="F75" s="30">
        <v>100</v>
      </c>
      <c r="G75" s="30">
        <v>100</v>
      </c>
      <c r="H75" s="30">
        <v>100</v>
      </c>
      <c r="I75" s="30">
        <v>100</v>
      </c>
      <c r="J75" s="30">
        <v>100</v>
      </c>
      <c r="K75" s="30">
        <v>100</v>
      </c>
    </row>
    <row r="76" spans="1:13" x14ac:dyDescent="0.35">
      <c r="F76">
        <f>F62*F59/100</f>
        <v>8255.4084000000003</v>
      </c>
    </row>
    <row r="77" spans="1:13" x14ac:dyDescent="0.35">
      <c r="F77" t="str">
        <f>F58</f>
        <v>2018</v>
      </c>
      <c r="G77" t="str">
        <f t="shared" ref="G77:J77" si="5">G58</f>
        <v>2019</v>
      </c>
      <c r="H77" t="str">
        <f t="shared" si="5"/>
        <v>2020</v>
      </c>
      <c r="I77" t="str">
        <f t="shared" si="5"/>
        <v>2021</v>
      </c>
      <c r="J77" t="str">
        <f t="shared" si="5"/>
        <v>2022</v>
      </c>
    </row>
    <row r="78" spans="1:13" x14ac:dyDescent="0.35">
      <c r="D78" s="554" t="str">
        <f>D62</f>
        <v>Vietnam Dairy Products JSC (Vinamilk)</v>
      </c>
      <c r="E78" s="17" t="s">
        <v>1512</v>
      </c>
      <c r="F78">
        <f>F62*F59/100</f>
        <v>8255.4084000000003</v>
      </c>
      <c r="G78">
        <f>G62*G59/100</f>
        <v>9159.0195999999996</v>
      </c>
      <c r="H78">
        <f>H62*H59/100</f>
        <v>10011.208199999999</v>
      </c>
      <c r="I78">
        <f>I62*I59/100</f>
        <v>10650.24</v>
      </c>
      <c r="J78">
        <f>J62*J59/100</f>
        <v>11208.021299999999</v>
      </c>
      <c r="K78">
        <f t="shared" ref="K78" si="6">K62*K59/100</f>
        <v>11994.0236</v>
      </c>
    </row>
    <row r="79" spans="1:13" x14ac:dyDescent="0.35">
      <c r="D79" s="554"/>
      <c r="E79" s="17" t="s">
        <v>1515</v>
      </c>
      <c r="F79">
        <f>F64*F59/100</f>
        <v>1215.3383999999999</v>
      </c>
      <c r="G79">
        <f>G64*G59/100</f>
        <v>1549.2021999999999</v>
      </c>
      <c r="H79">
        <f>H64*H59/100</f>
        <v>1842.6701999999996</v>
      </c>
      <c r="I79">
        <f>I64*I59/100</f>
        <v>2146.56</v>
      </c>
      <c r="J79">
        <f>J64*J59/100</f>
        <v>2237.13</v>
      </c>
    </row>
    <row r="80" spans="1:13" x14ac:dyDescent="0.35">
      <c r="D80" s="554"/>
      <c r="E80" s="17" t="s">
        <v>1518</v>
      </c>
      <c r="F80">
        <f>F67*F59/100</f>
        <v>429.81480000000005</v>
      </c>
      <c r="G80">
        <f>G67*G59/100</f>
        <v>527.75020000000006</v>
      </c>
      <c r="H80">
        <f>H67*H59/100</f>
        <v>645.88439999999991</v>
      </c>
      <c r="I80">
        <f>I67*I59/100</f>
        <v>743.04</v>
      </c>
      <c r="J80">
        <f>J67*J59/100</f>
        <v>782.99549999999999</v>
      </c>
    </row>
    <row r="81" spans="4:13" x14ac:dyDescent="0.35">
      <c r="D81" s="554" t="str">
        <f>D63</f>
        <v>FrieslandCampina Vietnam Co Ltd</v>
      </c>
      <c r="E81" s="17" t="s">
        <v>1523</v>
      </c>
      <c r="F81">
        <f>F63*F59/100</f>
        <v>1837.8288</v>
      </c>
      <c r="G81">
        <f>G63*G59/100</f>
        <v>2025.8798000000002</v>
      </c>
      <c r="H81">
        <f>H63*H59/100</f>
        <v>2089.6259999999997</v>
      </c>
      <c r="I81">
        <f>I63*I59/100</f>
        <v>2167.1999999999998</v>
      </c>
      <c r="J81">
        <f>J63*J59/100</f>
        <v>2281.8725999999997</v>
      </c>
      <c r="K81">
        <f t="shared" ref="K81" si="7">K65*K62/100</f>
        <v>3.7050000000000001</v>
      </c>
      <c r="M81" t="s">
        <v>23</v>
      </c>
    </row>
    <row r="82" spans="4:13" x14ac:dyDescent="0.35">
      <c r="D82" s="554"/>
      <c r="E82" s="17" t="s">
        <v>1123</v>
      </c>
      <c r="F82">
        <f>F70*F59/100</f>
        <v>311.24520000000007</v>
      </c>
      <c r="G82">
        <f>G70*G59/100</f>
        <v>323.45979999999997</v>
      </c>
      <c r="H82">
        <f>H70*H59/100</f>
        <v>341.93879999999996</v>
      </c>
      <c r="I82">
        <f>I70*I59/100</f>
        <v>350.88</v>
      </c>
      <c r="J82">
        <f>J70*J59/100</f>
        <v>357.94080000000002</v>
      </c>
    </row>
    <row r="83" spans="4:13" x14ac:dyDescent="0.35">
      <c r="D83" s="554" t="str">
        <f>D66</f>
        <v>TH Food Chain JSC</v>
      </c>
      <c r="E83" t="str">
        <f>C66</f>
        <v>TH True Yogurt</v>
      </c>
      <c r="F83">
        <f>F66*F59/100</f>
        <v>741.06</v>
      </c>
      <c r="G83">
        <f>G66*G59/100</f>
        <v>902.2826</v>
      </c>
      <c r="H83">
        <f>H66*H59/100</f>
        <v>1063.8095999999998</v>
      </c>
      <c r="I83">
        <f>I66*I59/100</f>
        <v>1197.1199999999999</v>
      </c>
      <c r="J83">
        <f>J66*J59/100</f>
        <v>1521.2483999999999</v>
      </c>
    </row>
    <row r="84" spans="4:13" x14ac:dyDescent="0.35">
      <c r="D84" s="554"/>
      <c r="E84" t="s">
        <v>264</v>
      </c>
      <c r="F84">
        <f>F65*F59/100</f>
        <v>518.74200000000008</v>
      </c>
      <c r="G84">
        <f>G65*G59/100</f>
        <v>663.94380000000001</v>
      </c>
      <c r="H84">
        <f>H65*H59/100</f>
        <v>835.85039999999992</v>
      </c>
      <c r="I84">
        <f>I65*I59/100</f>
        <v>1155.8399999999999</v>
      </c>
      <c r="J84">
        <f>J65*J59/100</f>
        <v>1543.6197</v>
      </c>
    </row>
    <row r="86" spans="4:13" x14ac:dyDescent="0.35">
      <c r="F86">
        <f>(H83-J83)/H83</f>
        <v>-0.43000063169198716</v>
      </c>
    </row>
    <row r="87" spans="4:13" x14ac:dyDescent="0.35">
      <c r="H87">
        <f>(H78-J78)/H78</f>
        <v>-0.11954731897394758</v>
      </c>
    </row>
    <row r="88" spans="4:13" x14ac:dyDescent="0.35">
      <c r="H88">
        <f t="shared" ref="H88:H89" si="8">(H79-J79)/H79</f>
        <v>-0.21406966911387651</v>
      </c>
    </row>
    <row r="89" spans="4:13" x14ac:dyDescent="0.35">
      <c r="H89">
        <f t="shared" si="8"/>
        <v>-0.21228427254165003</v>
      </c>
    </row>
  </sheetData>
  <autoFilter ref="A61:K75" xr:uid="{65CFAA5C-84CD-45B6-8677-BE9A8C8B0F0F}">
    <filterColumn colId="3">
      <filters>
        <filter val="FrieslandCampina Vietnam Co Ltd"/>
        <filter val="TH Food Chain JSC"/>
        <filter val="Vietnam Dairy Products JSC (Vinamilk)"/>
        <filter val="Yakult Vietnam Co Ltd"/>
      </filters>
    </filterColumn>
  </autoFilter>
  <mergeCells count="3">
    <mergeCell ref="D81:D82"/>
    <mergeCell ref="D78:D80"/>
    <mergeCell ref="D83:D8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A0E7-2CE8-4E7B-A41B-F5AA1D3B7304}">
  <dimension ref="A1:J23"/>
  <sheetViews>
    <sheetView topLeftCell="A2" workbookViewId="0">
      <selection activeCell="C8" sqref="C8"/>
    </sheetView>
  </sheetViews>
  <sheetFormatPr defaultRowHeight="14.5" x14ac:dyDescent="0.35"/>
  <cols>
    <col min="3" max="3" width="26" customWidth="1"/>
    <col min="4" max="4" width="14.54296875" bestFit="1" customWidth="1"/>
    <col min="5" max="9" width="13.81640625" bestFit="1" customWidth="1"/>
  </cols>
  <sheetData>
    <row r="1" spans="1:10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</row>
    <row r="7" spans="1:10" x14ac:dyDescent="0.35">
      <c r="A7" s="17" t="s">
        <v>177</v>
      </c>
      <c r="B7" s="18" t="s">
        <v>187</v>
      </c>
      <c r="C7" s="17" t="s">
        <v>1524</v>
      </c>
      <c r="D7" s="17" t="s">
        <v>1102</v>
      </c>
      <c r="E7" s="30">
        <v>70.5</v>
      </c>
      <c r="F7" s="30">
        <v>71.599999999999994</v>
      </c>
      <c r="G7" s="30">
        <v>71.8</v>
      </c>
      <c r="H7" s="30">
        <v>72</v>
      </c>
      <c r="I7" s="30">
        <v>71.900000000000006</v>
      </c>
      <c r="J7" s="30">
        <v>71.5</v>
      </c>
    </row>
    <row r="8" spans="1:10" x14ac:dyDescent="0.35">
      <c r="A8" s="17" t="s">
        <v>177</v>
      </c>
      <c r="B8" s="18" t="s">
        <v>187</v>
      </c>
      <c r="C8" s="17" t="s">
        <v>1089</v>
      </c>
      <c r="D8" s="17" t="s">
        <v>1102</v>
      </c>
      <c r="E8" s="30">
        <v>3</v>
      </c>
      <c r="F8" s="30">
        <v>3</v>
      </c>
      <c r="G8" s="30">
        <v>3</v>
      </c>
      <c r="H8" s="30">
        <v>3.1</v>
      </c>
      <c r="I8" s="30">
        <v>3.1</v>
      </c>
      <c r="J8" s="30">
        <v>3</v>
      </c>
    </row>
    <row r="9" spans="1:10" x14ac:dyDescent="0.35">
      <c r="A9" s="17" t="s">
        <v>177</v>
      </c>
      <c r="B9" s="18" t="s">
        <v>187</v>
      </c>
      <c r="C9" s="17" t="s">
        <v>1525</v>
      </c>
      <c r="D9" s="17" t="s">
        <v>1102</v>
      </c>
      <c r="E9" s="30">
        <v>3</v>
      </c>
      <c r="F9" s="30">
        <v>3</v>
      </c>
      <c r="G9" s="30">
        <v>3.1</v>
      </c>
      <c r="H9" s="30">
        <v>3</v>
      </c>
      <c r="I9" s="30">
        <v>3</v>
      </c>
      <c r="J9" s="30">
        <v>3</v>
      </c>
    </row>
    <row r="10" spans="1:10" x14ac:dyDescent="0.35">
      <c r="A10" s="17" t="s">
        <v>177</v>
      </c>
      <c r="B10" s="18" t="s">
        <v>187</v>
      </c>
      <c r="C10" s="17" t="s">
        <v>1526</v>
      </c>
      <c r="D10" s="17" t="s">
        <v>1102</v>
      </c>
      <c r="E10" s="30">
        <v>1.2</v>
      </c>
      <c r="F10" s="30">
        <v>1.1000000000000001</v>
      </c>
      <c r="G10" s="30">
        <v>1.1000000000000001</v>
      </c>
      <c r="H10" s="30">
        <v>1.1000000000000001</v>
      </c>
      <c r="I10" s="30">
        <v>1.2</v>
      </c>
      <c r="J10" s="30">
        <v>1.2</v>
      </c>
    </row>
    <row r="11" spans="1:10" x14ac:dyDescent="0.35">
      <c r="A11" s="17" t="s">
        <v>177</v>
      </c>
      <c r="B11" s="18" t="s">
        <v>187</v>
      </c>
      <c r="C11" s="17" t="s">
        <v>1527</v>
      </c>
      <c r="D11" s="17" t="s">
        <v>1102</v>
      </c>
      <c r="E11" s="30">
        <v>1</v>
      </c>
      <c r="F11" s="30">
        <v>1</v>
      </c>
      <c r="G11" s="30">
        <v>1</v>
      </c>
      <c r="H11" s="30">
        <v>1</v>
      </c>
      <c r="I11" s="30">
        <v>1</v>
      </c>
      <c r="J11" s="30">
        <v>1</v>
      </c>
    </row>
    <row r="12" spans="1:10" x14ac:dyDescent="0.35">
      <c r="A12" s="17" t="s">
        <v>177</v>
      </c>
      <c r="B12" s="18" t="s">
        <v>187</v>
      </c>
      <c r="C12" s="17" t="s">
        <v>1528</v>
      </c>
      <c r="D12" s="17" t="s">
        <v>1102</v>
      </c>
      <c r="E12" s="30">
        <v>0.3</v>
      </c>
      <c r="F12" s="30">
        <v>0.3</v>
      </c>
      <c r="G12" s="30">
        <v>0.3</v>
      </c>
      <c r="H12" s="30">
        <v>0.3</v>
      </c>
      <c r="I12" s="30">
        <v>0.3</v>
      </c>
      <c r="J12" s="30">
        <v>0.3</v>
      </c>
    </row>
    <row r="13" spans="1:10" x14ac:dyDescent="0.35">
      <c r="A13" s="17" t="s">
        <v>177</v>
      </c>
      <c r="B13" s="18" t="s">
        <v>187</v>
      </c>
      <c r="C13" s="17" t="s">
        <v>1529</v>
      </c>
      <c r="D13" s="17" t="s">
        <v>1102</v>
      </c>
      <c r="E13" s="30">
        <v>0.1</v>
      </c>
      <c r="F13" s="30">
        <v>0.1</v>
      </c>
      <c r="G13" s="30">
        <v>0.1</v>
      </c>
      <c r="H13" s="30">
        <v>0.1</v>
      </c>
      <c r="I13" s="30">
        <v>0.1</v>
      </c>
      <c r="J13" s="30">
        <v>0.1</v>
      </c>
    </row>
    <row r="14" spans="1:10" x14ac:dyDescent="0.35">
      <c r="A14" s="17" t="s">
        <v>177</v>
      </c>
      <c r="B14" s="18" t="s">
        <v>187</v>
      </c>
      <c r="C14" s="17" t="s">
        <v>130</v>
      </c>
      <c r="D14" s="17" t="s">
        <v>1102</v>
      </c>
      <c r="E14" s="30">
        <v>20.9</v>
      </c>
      <c r="F14" s="30">
        <v>19.899999999999999</v>
      </c>
      <c r="G14" s="30">
        <v>19.600000000000001</v>
      </c>
      <c r="H14" s="30">
        <v>19.399999999999999</v>
      </c>
      <c r="I14" s="30">
        <v>19.600000000000001</v>
      </c>
      <c r="J14" s="30">
        <v>20</v>
      </c>
    </row>
    <row r="15" spans="1:10" x14ac:dyDescent="0.35">
      <c r="A15" s="17" t="s">
        <v>177</v>
      </c>
      <c r="B15" s="18" t="s">
        <v>187</v>
      </c>
      <c r="C15" s="17" t="s">
        <v>31</v>
      </c>
      <c r="D15" s="17" t="s">
        <v>1102</v>
      </c>
      <c r="E15" s="30">
        <v>100</v>
      </c>
      <c r="F15" s="30">
        <v>100</v>
      </c>
      <c r="G15" s="30">
        <v>100</v>
      </c>
      <c r="H15" s="30">
        <v>100</v>
      </c>
      <c r="I15" s="30">
        <v>100</v>
      </c>
      <c r="J15" s="30">
        <v>100</v>
      </c>
    </row>
    <row r="17" spans="1:9" x14ac:dyDescent="0.35">
      <c r="A17" s="33" t="s">
        <v>1093</v>
      </c>
    </row>
    <row r="18" spans="1:9" x14ac:dyDescent="0.35">
      <c r="A18" s="28" t="s">
        <v>1094</v>
      </c>
    </row>
    <row r="20" spans="1:9" x14ac:dyDescent="0.35">
      <c r="A20" s="28" t="s">
        <v>1530</v>
      </c>
    </row>
    <row r="21" spans="1:9" x14ac:dyDescent="0.35">
      <c r="A21" s="28" t="s">
        <v>1096</v>
      </c>
    </row>
    <row r="22" spans="1:9" x14ac:dyDescent="0.35">
      <c r="E22" s="297">
        <f>F8/E8-1</f>
        <v>0</v>
      </c>
      <c r="F22" s="297">
        <f>G8/F8-1</f>
        <v>0</v>
      </c>
      <c r="G22" s="297">
        <f>H8/G8-1</f>
        <v>3.3333333333333437E-2</v>
      </c>
      <c r="H22" s="297">
        <f>I8/H8-1</f>
        <v>0</v>
      </c>
      <c r="I22" s="297">
        <f>J8/I8-1</f>
        <v>-3.2258064516129115E-2</v>
      </c>
    </row>
    <row r="23" spans="1:9" x14ac:dyDescent="0.35">
      <c r="E23" s="298">
        <f>AVERAGE(E22:I22)</f>
        <v>2.1505376344086447E-4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39F9-E044-45F2-AF76-CE10A591BC27}">
  <dimension ref="A1:V241"/>
  <sheetViews>
    <sheetView topLeftCell="A19" zoomScale="55" zoomScaleNormal="55" workbookViewId="0">
      <selection activeCell="B97" sqref="B97"/>
    </sheetView>
  </sheetViews>
  <sheetFormatPr defaultRowHeight="14.5" x14ac:dyDescent="0.35"/>
  <cols>
    <col min="1" max="1" width="28.7265625" customWidth="1"/>
    <col min="2" max="2" width="21.54296875" bestFit="1" customWidth="1"/>
    <col min="3" max="4" width="35.81640625" bestFit="1" customWidth="1"/>
    <col min="5" max="5" width="44.1796875" customWidth="1"/>
    <col min="6" max="6" width="12.81640625" bestFit="1" customWidth="1"/>
    <col min="7" max="7" width="18.54296875" bestFit="1" customWidth="1"/>
    <col min="8" max="8" width="11" bestFit="1" customWidth="1"/>
    <col min="9" max="10" width="8.81640625" bestFit="1" customWidth="1"/>
    <col min="11" max="11" width="33.1796875" bestFit="1" customWidth="1"/>
    <col min="13" max="13" width="11" bestFit="1" customWidth="1"/>
    <col min="14" max="14" width="12" bestFit="1" customWidth="1"/>
    <col min="20" max="20" width="37.1796875" bestFit="1" customWidth="1"/>
  </cols>
  <sheetData>
    <row r="1" spans="1:22" x14ac:dyDescent="0.35">
      <c r="A1" s="14" t="s">
        <v>1081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U1" s="15"/>
    </row>
    <row r="2" spans="1:22" x14ac:dyDescent="0.35">
      <c r="A2" s="1" t="s">
        <v>173</v>
      </c>
      <c r="B2" s="1" t="s">
        <v>174</v>
      </c>
      <c r="C2" s="1" t="s">
        <v>1082</v>
      </c>
      <c r="D2" s="1" t="s">
        <v>1082</v>
      </c>
      <c r="E2" s="1" t="s">
        <v>1083</v>
      </c>
      <c r="F2" s="1" t="s">
        <v>1084</v>
      </c>
      <c r="G2" s="1" t="s">
        <v>1085</v>
      </c>
      <c r="H2" s="1" t="s">
        <v>1086</v>
      </c>
      <c r="I2" s="1" t="s">
        <v>1087</v>
      </c>
      <c r="J2" s="1" t="s">
        <v>1088</v>
      </c>
      <c r="K2" s="16"/>
      <c r="N2">
        <v>2018</v>
      </c>
      <c r="O2" s="1" t="s">
        <v>1084</v>
      </c>
      <c r="P2" s="1" t="s">
        <v>1085</v>
      </c>
      <c r="Q2" s="1" t="s">
        <v>1086</v>
      </c>
      <c r="R2" s="1" t="s">
        <v>1087</v>
      </c>
      <c r="S2" s="1" t="s">
        <v>1088</v>
      </c>
      <c r="T2" s="1" t="s">
        <v>1082</v>
      </c>
      <c r="U2" s="1" t="s">
        <v>1088</v>
      </c>
    </row>
    <row r="3" spans="1:22" x14ac:dyDescent="0.35">
      <c r="A3" s="17" t="s">
        <v>177</v>
      </c>
      <c r="B3" s="18" t="s">
        <v>180</v>
      </c>
      <c r="C3" s="17" t="s">
        <v>1089</v>
      </c>
      <c r="D3" s="17" t="s">
        <v>1089</v>
      </c>
      <c r="E3" s="5">
        <v>45.3</v>
      </c>
      <c r="F3" s="5">
        <v>48</v>
      </c>
      <c r="G3" s="5">
        <v>48.3</v>
      </c>
      <c r="H3" s="5">
        <v>47.9</v>
      </c>
      <c r="I3" s="5">
        <v>46.1</v>
      </c>
      <c r="J3" s="5">
        <v>44.8</v>
      </c>
      <c r="K3" s="15"/>
      <c r="M3" s="18" t="s">
        <v>1531</v>
      </c>
      <c r="N3" s="78">
        <f t="shared" ref="N3:S3" si="0">E3</f>
        <v>45.3</v>
      </c>
      <c r="O3" s="78">
        <f t="shared" si="0"/>
        <v>48</v>
      </c>
      <c r="P3" s="78">
        <f t="shared" si="0"/>
        <v>48.3</v>
      </c>
      <c r="Q3" s="78">
        <f t="shared" si="0"/>
        <v>47.9</v>
      </c>
      <c r="R3" s="78">
        <f t="shared" si="0"/>
        <v>46.1</v>
      </c>
      <c r="S3" s="78">
        <f t="shared" si="0"/>
        <v>44.8</v>
      </c>
      <c r="T3" s="22" t="s">
        <v>1089</v>
      </c>
      <c r="U3" s="5">
        <v>44.8</v>
      </c>
    </row>
    <row r="4" spans="1:22" x14ac:dyDescent="0.35">
      <c r="A4" s="17" t="s">
        <v>177</v>
      </c>
      <c r="B4" s="18" t="s">
        <v>180</v>
      </c>
      <c r="C4" s="17" t="s">
        <v>1501</v>
      </c>
      <c r="D4" s="17" t="s">
        <v>1501</v>
      </c>
      <c r="E4" s="5">
        <v>12.2</v>
      </c>
      <c r="F4" s="5">
        <v>13.9</v>
      </c>
      <c r="G4" s="5">
        <v>14.3</v>
      </c>
      <c r="H4" s="5">
        <v>14.8</v>
      </c>
      <c r="I4" s="5">
        <v>15.1</v>
      </c>
      <c r="J4" s="5">
        <v>15.1</v>
      </c>
      <c r="K4" s="19">
        <f>SUM(J3:J21)</f>
        <v>99.800000000000011</v>
      </c>
      <c r="M4" t="s">
        <v>13</v>
      </c>
      <c r="N4">
        <f>F28</f>
        <v>20287.740900000001</v>
      </c>
      <c r="O4">
        <f t="shared" ref="O4:R4" si="1">G28</f>
        <v>24016.704000000005</v>
      </c>
      <c r="P4">
        <f t="shared" si="1"/>
        <v>26157.1548</v>
      </c>
      <c r="Q4">
        <f t="shared" si="1"/>
        <v>27401.003399999998</v>
      </c>
      <c r="R4">
        <f t="shared" si="1"/>
        <v>27325.682800000002</v>
      </c>
      <c r="S4">
        <f>K28</f>
        <v>28002.374400000001</v>
      </c>
      <c r="T4" s="22" t="s">
        <v>1501</v>
      </c>
      <c r="U4" s="5">
        <v>15.1</v>
      </c>
    </row>
    <row r="5" spans="1:22" x14ac:dyDescent="0.35">
      <c r="A5" s="17" t="s">
        <v>177</v>
      </c>
      <c r="B5" s="18" t="s">
        <v>180</v>
      </c>
      <c r="C5" s="17" t="s">
        <v>1090</v>
      </c>
      <c r="D5" s="17" t="s">
        <v>1090</v>
      </c>
      <c r="E5" s="5">
        <v>17.600000000000001</v>
      </c>
      <c r="F5" s="5">
        <v>13.6</v>
      </c>
      <c r="G5" s="5">
        <v>11.4</v>
      </c>
      <c r="H5" s="5">
        <v>10.4</v>
      </c>
      <c r="I5" s="5">
        <v>10.4</v>
      </c>
      <c r="J5" s="5">
        <v>10.199999999999999</v>
      </c>
      <c r="K5" s="15"/>
      <c r="T5" s="22" t="s">
        <v>1090</v>
      </c>
      <c r="U5" s="5">
        <v>10.199999999999999</v>
      </c>
    </row>
    <row r="6" spans="1:22" x14ac:dyDescent="0.35">
      <c r="A6" s="17" t="s">
        <v>177</v>
      </c>
      <c r="B6" s="18" t="s">
        <v>180</v>
      </c>
      <c r="C6" s="17" t="s">
        <v>1091</v>
      </c>
      <c r="D6" s="17" t="s">
        <v>1091</v>
      </c>
      <c r="E6" s="5">
        <v>7.7</v>
      </c>
      <c r="F6" s="5">
        <v>7.9</v>
      </c>
      <c r="G6" s="5">
        <v>8.1999999999999993</v>
      </c>
      <c r="H6" s="5">
        <v>8.3000000000000007</v>
      </c>
      <c r="I6" s="5">
        <v>8.4</v>
      </c>
      <c r="J6" s="5">
        <v>8.4</v>
      </c>
      <c r="K6" s="15"/>
      <c r="T6" s="22" t="s">
        <v>1091</v>
      </c>
      <c r="U6" s="5">
        <v>8.4</v>
      </c>
    </row>
    <row r="7" spans="1:22" x14ac:dyDescent="0.35">
      <c r="A7" s="17" t="s">
        <v>177</v>
      </c>
      <c r="B7" s="18" t="s">
        <v>180</v>
      </c>
      <c r="C7" s="17" t="s">
        <v>1503</v>
      </c>
      <c r="D7" s="17" t="s">
        <v>1503</v>
      </c>
      <c r="E7" s="5">
        <v>2.6</v>
      </c>
      <c r="F7" s="5">
        <v>2.5</v>
      </c>
      <c r="G7" s="5">
        <v>3.2</v>
      </c>
      <c r="H7" s="5">
        <v>3.7</v>
      </c>
      <c r="I7" s="5">
        <v>4.5</v>
      </c>
      <c r="J7" s="5">
        <v>5.4</v>
      </c>
      <c r="K7" s="15"/>
      <c r="T7" s="22" t="s">
        <v>1503</v>
      </c>
      <c r="U7" s="5">
        <v>5.4</v>
      </c>
    </row>
    <row r="8" spans="1:22" x14ac:dyDescent="0.35">
      <c r="A8" s="17" t="s">
        <v>177</v>
      </c>
      <c r="B8" s="18" t="s">
        <v>180</v>
      </c>
      <c r="C8" s="17" t="s">
        <v>1532</v>
      </c>
      <c r="D8" s="17" t="s">
        <v>1532</v>
      </c>
      <c r="E8" s="5">
        <v>4</v>
      </c>
      <c r="F8" s="5">
        <v>3.8</v>
      </c>
      <c r="G8" s="5">
        <v>4.0999999999999996</v>
      </c>
      <c r="H8" s="5">
        <v>4.2</v>
      </c>
      <c r="I8" s="5">
        <v>4.5999999999999996</v>
      </c>
      <c r="J8" s="5">
        <v>4.9000000000000004</v>
      </c>
      <c r="K8" s="15"/>
      <c r="T8" s="22" t="s">
        <v>1532</v>
      </c>
      <c r="U8" s="5">
        <v>4.9000000000000004</v>
      </c>
      <c r="V8" s="21">
        <f>SUM(U3:U9)</f>
        <v>99.600000000000009</v>
      </c>
    </row>
    <row r="9" spans="1:22" x14ac:dyDescent="0.35">
      <c r="A9" s="17" t="s">
        <v>177</v>
      </c>
      <c r="B9" s="18" t="s">
        <v>180</v>
      </c>
      <c r="C9" s="17" t="s">
        <v>1533</v>
      </c>
      <c r="D9" s="17" t="s">
        <v>1533</v>
      </c>
      <c r="E9" s="5">
        <v>0.8</v>
      </c>
      <c r="F9" s="5">
        <v>1</v>
      </c>
      <c r="G9" s="5">
        <v>1.1000000000000001</v>
      </c>
      <c r="H9" s="5">
        <v>1.1000000000000001</v>
      </c>
      <c r="I9" s="5">
        <v>1.2</v>
      </c>
      <c r="J9" s="5">
        <v>1.2</v>
      </c>
      <c r="K9" s="15"/>
      <c r="T9" s="22" t="s">
        <v>130</v>
      </c>
      <c r="U9" s="5">
        <f>1+SUM(U10:U21)</f>
        <v>10.8</v>
      </c>
    </row>
    <row r="10" spans="1:22" x14ac:dyDescent="0.35">
      <c r="A10" s="17" t="s">
        <v>177</v>
      </c>
      <c r="B10" s="18" t="s">
        <v>180</v>
      </c>
      <c r="C10" s="17" t="s">
        <v>1092</v>
      </c>
      <c r="D10" s="17" t="s">
        <v>1092</v>
      </c>
      <c r="E10" s="5">
        <v>1.1000000000000001</v>
      </c>
      <c r="F10" s="5">
        <v>1.1000000000000001</v>
      </c>
      <c r="G10" s="5">
        <v>1.1000000000000001</v>
      </c>
      <c r="H10" s="5">
        <v>1.1000000000000001</v>
      </c>
      <c r="I10" s="5">
        <v>1.1000000000000001</v>
      </c>
      <c r="J10" s="5">
        <v>1</v>
      </c>
      <c r="K10" s="15"/>
      <c r="T10" s="17" t="s">
        <v>1092</v>
      </c>
      <c r="U10" s="5">
        <v>1</v>
      </c>
    </row>
    <row r="11" spans="1:22" x14ac:dyDescent="0.35">
      <c r="A11" s="17" t="s">
        <v>177</v>
      </c>
      <c r="B11" s="18" t="s">
        <v>180</v>
      </c>
      <c r="C11" s="17" t="s">
        <v>1534</v>
      </c>
      <c r="D11" s="17" t="s">
        <v>1534</v>
      </c>
      <c r="E11" s="5">
        <v>0.7</v>
      </c>
      <c r="F11" s="5">
        <v>0.7</v>
      </c>
      <c r="G11" s="5">
        <v>0.7</v>
      </c>
      <c r="H11" s="5">
        <v>0.7</v>
      </c>
      <c r="I11" s="5">
        <v>0.8</v>
      </c>
      <c r="J11" s="5">
        <v>0.8</v>
      </c>
      <c r="K11" s="15"/>
      <c r="T11" s="17" t="s">
        <v>1534</v>
      </c>
      <c r="U11" s="5">
        <v>0.8</v>
      </c>
    </row>
    <row r="12" spans="1:22" x14ac:dyDescent="0.35">
      <c r="A12" s="17" t="s">
        <v>177</v>
      </c>
      <c r="B12" s="18" t="s">
        <v>180</v>
      </c>
      <c r="C12" s="17" t="s">
        <v>1528</v>
      </c>
      <c r="D12" s="17" t="s">
        <v>1528</v>
      </c>
      <c r="E12" s="5">
        <v>1.2</v>
      </c>
      <c r="F12" s="5">
        <v>0.9</v>
      </c>
      <c r="G12" s="5">
        <v>0.8</v>
      </c>
      <c r="H12" s="5">
        <v>0.6</v>
      </c>
      <c r="I12" s="5">
        <v>0.6</v>
      </c>
      <c r="J12" s="5">
        <v>0.6</v>
      </c>
      <c r="K12" s="15"/>
      <c r="T12" s="17" t="s">
        <v>1528</v>
      </c>
      <c r="U12" s="5">
        <v>0.6</v>
      </c>
    </row>
    <row r="13" spans="1:22" x14ac:dyDescent="0.35">
      <c r="A13" s="17" t="s">
        <v>177</v>
      </c>
      <c r="B13" s="18" t="s">
        <v>180</v>
      </c>
      <c r="C13" s="17" t="s">
        <v>1535</v>
      </c>
      <c r="D13" s="17" t="s">
        <v>1535</v>
      </c>
      <c r="E13" s="5">
        <v>0.8</v>
      </c>
      <c r="F13" s="5">
        <v>0.7</v>
      </c>
      <c r="G13" s="5">
        <v>0.6</v>
      </c>
      <c r="H13" s="5">
        <v>0.5</v>
      </c>
      <c r="I13" s="5">
        <v>0.5</v>
      </c>
      <c r="J13" s="5">
        <v>0.5</v>
      </c>
      <c r="K13" s="15"/>
      <c r="T13" s="17" t="s">
        <v>1535</v>
      </c>
      <c r="U13" s="5">
        <v>0.5</v>
      </c>
    </row>
    <row r="14" spans="1:22" x14ac:dyDescent="0.35">
      <c r="A14" s="17" t="s">
        <v>177</v>
      </c>
      <c r="B14" s="18" t="s">
        <v>180</v>
      </c>
      <c r="C14" s="17" t="s">
        <v>1536</v>
      </c>
      <c r="D14" s="17" t="s">
        <v>1536</v>
      </c>
      <c r="E14" s="5">
        <v>0.6</v>
      </c>
      <c r="F14" s="5">
        <v>0.6</v>
      </c>
      <c r="G14" s="5">
        <v>0.5</v>
      </c>
      <c r="H14" s="5">
        <v>0.5</v>
      </c>
      <c r="I14" s="5">
        <v>0.5</v>
      </c>
      <c r="J14" s="5">
        <v>0.5</v>
      </c>
      <c r="K14" s="15"/>
      <c r="T14" s="17" t="s">
        <v>1536</v>
      </c>
      <c r="U14" s="5">
        <v>0.5</v>
      </c>
    </row>
    <row r="15" spans="1:22" x14ac:dyDescent="0.35">
      <c r="A15" s="17" t="s">
        <v>177</v>
      </c>
      <c r="B15" s="18" t="s">
        <v>180</v>
      </c>
      <c r="C15" s="17" t="s">
        <v>1537</v>
      </c>
      <c r="D15" s="17" t="s">
        <v>1537</v>
      </c>
      <c r="E15" s="5">
        <v>0.4</v>
      </c>
      <c r="F15" s="5">
        <v>0.4</v>
      </c>
      <c r="G15" s="5">
        <v>0.4</v>
      </c>
      <c r="H15" s="5">
        <v>0.4</v>
      </c>
      <c r="I15" s="5">
        <v>0.5</v>
      </c>
      <c r="J15" s="5">
        <v>0.5</v>
      </c>
      <c r="K15" s="15"/>
      <c r="T15" s="17" t="s">
        <v>1537</v>
      </c>
      <c r="U15" s="5">
        <v>0.5</v>
      </c>
    </row>
    <row r="16" spans="1:22" x14ac:dyDescent="0.35">
      <c r="A16" s="17" t="s">
        <v>177</v>
      </c>
      <c r="B16" s="18" t="s">
        <v>180</v>
      </c>
      <c r="C16" s="17" t="s">
        <v>1538</v>
      </c>
      <c r="D16" s="17" t="s">
        <v>1538</v>
      </c>
      <c r="E16" s="5">
        <v>0.3</v>
      </c>
      <c r="F16" s="5">
        <v>0.3</v>
      </c>
      <c r="G16" s="5">
        <v>0.4</v>
      </c>
      <c r="H16" s="5">
        <v>0.4</v>
      </c>
      <c r="I16" s="5">
        <v>0.4</v>
      </c>
      <c r="J16" s="5">
        <v>0.4</v>
      </c>
      <c r="K16" s="15"/>
      <c r="T16" s="17" t="s">
        <v>1538</v>
      </c>
      <c r="U16" s="5">
        <v>0.4</v>
      </c>
    </row>
    <row r="17" spans="1:21" x14ac:dyDescent="0.35">
      <c r="A17" s="17" t="s">
        <v>177</v>
      </c>
      <c r="B17" s="18" t="s">
        <v>180</v>
      </c>
      <c r="C17" s="17" t="s">
        <v>1539</v>
      </c>
      <c r="D17" s="17" t="s">
        <v>1539</v>
      </c>
      <c r="E17" s="5">
        <v>0.4</v>
      </c>
      <c r="F17" s="5">
        <v>0.3</v>
      </c>
      <c r="G17" s="5">
        <v>0.3</v>
      </c>
      <c r="H17" s="5">
        <v>0.4</v>
      </c>
      <c r="I17" s="5">
        <v>0.4</v>
      </c>
      <c r="J17" s="5">
        <v>0.4</v>
      </c>
      <c r="K17" s="15"/>
      <c r="T17" s="17" t="s">
        <v>1539</v>
      </c>
      <c r="U17" s="5">
        <v>0.4</v>
      </c>
    </row>
    <row r="18" spans="1:21" x14ac:dyDescent="0.35">
      <c r="A18" s="17" t="s">
        <v>177</v>
      </c>
      <c r="B18" s="18" t="s">
        <v>180</v>
      </c>
      <c r="C18" s="17" t="s">
        <v>1540</v>
      </c>
      <c r="D18" s="17" t="s">
        <v>1540</v>
      </c>
      <c r="E18" s="5">
        <v>0.1</v>
      </c>
      <c r="F18" s="5">
        <v>0.1</v>
      </c>
      <c r="G18" s="5">
        <v>0.1</v>
      </c>
      <c r="H18" s="5">
        <v>0.1</v>
      </c>
      <c r="I18" s="5">
        <v>0.1</v>
      </c>
      <c r="J18" s="5">
        <v>0.1</v>
      </c>
      <c r="K18" s="15"/>
      <c r="T18" s="17" t="s">
        <v>1540</v>
      </c>
      <c r="U18" s="5">
        <v>0.1</v>
      </c>
    </row>
    <row r="19" spans="1:21" x14ac:dyDescent="0.35">
      <c r="A19" s="17" t="s">
        <v>177</v>
      </c>
      <c r="B19" s="18" t="s">
        <v>180</v>
      </c>
      <c r="C19" s="17" t="s">
        <v>1541</v>
      </c>
      <c r="D19" s="17" t="s">
        <v>1541</v>
      </c>
      <c r="E19" s="20" t="s">
        <v>202</v>
      </c>
      <c r="F19" s="20" t="s">
        <v>202</v>
      </c>
      <c r="G19" s="20" t="s">
        <v>202</v>
      </c>
      <c r="H19" s="20" t="s">
        <v>202</v>
      </c>
      <c r="I19" s="20" t="s">
        <v>202</v>
      </c>
      <c r="J19" s="20" t="s">
        <v>202</v>
      </c>
      <c r="K19" s="15"/>
      <c r="T19" s="17" t="s">
        <v>1541</v>
      </c>
      <c r="U19" s="20" t="s">
        <v>202</v>
      </c>
    </row>
    <row r="20" spans="1:21" x14ac:dyDescent="0.35">
      <c r="A20" s="17" t="s">
        <v>177</v>
      </c>
      <c r="B20" s="18" t="s">
        <v>180</v>
      </c>
      <c r="C20" s="17" t="s">
        <v>1542</v>
      </c>
      <c r="D20" s="17" t="s">
        <v>1542</v>
      </c>
      <c r="E20" s="5">
        <v>0.5</v>
      </c>
      <c r="F20" s="20" t="s">
        <v>202</v>
      </c>
      <c r="G20" s="20" t="s">
        <v>202</v>
      </c>
      <c r="H20" s="20" t="s">
        <v>202</v>
      </c>
      <c r="I20" s="20" t="s">
        <v>202</v>
      </c>
      <c r="J20" s="20" t="s">
        <v>202</v>
      </c>
      <c r="K20" s="15"/>
      <c r="T20" s="17" t="s">
        <v>1542</v>
      </c>
      <c r="U20" s="20" t="s">
        <v>202</v>
      </c>
    </row>
    <row r="21" spans="1:21" x14ac:dyDescent="0.35">
      <c r="A21" s="17" t="s">
        <v>177</v>
      </c>
      <c r="B21" s="18" t="s">
        <v>180</v>
      </c>
      <c r="C21" s="17" t="s">
        <v>130</v>
      </c>
      <c r="D21" s="17" t="s">
        <v>130</v>
      </c>
      <c r="E21" s="5">
        <v>3.8</v>
      </c>
      <c r="F21" s="5">
        <v>4.2</v>
      </c>
      <c r="G21" s="5">
        <v>4.4000000000000004</v>
      </c>
      <c r="H21" s="5">
        <v>4.9000000000000004</v>
      </c>
      <c r="I21" s="5">
        <v>5</v>
      </c>
      <c r="J21" s="5">
        <v>5</v>
      </c>
      <c r="K21" s="15"/>
      <c r="T21" s="17" t="s">
        <v>130</v>
      </c>
      <c r="U21" s="5">
        <v>5</v>
      </c>
    </row>
    <row r="22" spans="1:21" x14ac:dyDescent="0.35">
      <c r="A22" s="17" t="s">
        <v>177</v>
      </c>
      <c r="B22" s="18" t="s">
        <v>180</v>
      </c>
      <c r="C22" s="17" t="s">
        <v>31</v>
      </c>
      <c r="D22" s="17" t="s">
        <v>31</v>
      </c>
      <c r="E22" s="126">
        <f>SUM(E2:E21)</f>
        <v>100.09999999999998</v>
      </c>
      <c r="F22" s="5">
        <v>100</v>
      </c>
      <c r="G22" s="5">
        <v>100</v>
      </c>
      <c r="H22" s="5">
        <v>100</v>
      </c>
      <c r="I22" s="5">
        <v>100</v>
      </c>
      <c r="J22" s="5">
        <v>100</v>
      </c>
      <c r="K22" s="15"/>
      <c r="T22" s="17" t="s">
        <v>31</v>
      </c>
      <c r="U22" s="5">
        <v>100</v>
      </c>
    </row>
    <row r="25" spans="1:21" x14ac:dyDescent="0.35">
      <c r="A25" s="1" t="s">
        <v>173</v>
      </c>
      <c r="B25" s="1" t="s">
        <v>174</v>
      </c>
      <c r="C25" s="1" t="s">
        <v>1098</v>
      </c>
      <c r="D25" s="1" t="s">
        <v>1098</v>
      </c>
      <c r="E25" s="1" t="s">
        <v>1117</v>
      </c>
      <c r="F25" s="1" t="s">
        <v>1083</v>
      </c>
      <c r="G25" s="1" t="s">
        <v>1084</v>
      </c>
      <c r="H25" s="1" t="s">
        <v>1085</v>
      </c>
      <c r="I25" s="1" t="s">
        <v>1086</v>
      </c>
      <c r="J25" s="1" t="s">
        <v>1087</v>
      </c>
      <c r="K25" s="1" t="s">
        <v>1088</v>
      </c>
    </row>
    <row r="26" spans="1:21" x14ac:dyDescent="0.35">
      <c r="A26" s="17" t="s">
        <v>177</v>
      </c>
      <c r="B26" s="18" t="s">
        <v>180</v>
      </c>
      <c r="C26" s="17" t="s">
        <v>1102</v>
      </c>
      <c r="D26" s="17" t="s">
        <v>1102</v>
      </c>
      <c r="E26" s="17" t="s">
        <v>1118</v>
      </c>
      <c r="F26" s="30">
        <v>44785.3</v>
      </c>
      <c r="G26" s="30">
        <v>50034.8</v>
      </c>
      <c r="H26" s="30">
        <v>54155.6</v>
      </c>
      <c r="I26" s="30">
        <v>57204.6</v>
      </c>
      <c r="J26" s="30">
        <v>59274.8</v>
      </c>
      <c r="K26" s="30">
        <v>62505.3</v>
      </c>
    </row>
    <row r="27" spans="1:21" x14ac:dyDescent="0.35">
      <c r="F27" s="1" t="s">
        <v>1083</v>
      </c>
      <c r="G27" s="1" t="s">
        <v>1084</v>
      </c>
      <c r="H27" s="1" t="s">
        <v>1085</v>
      </c>
      <c r="I27" s="1" t="s">
        <v>1086</v>
      </c>
      <c r="J27" s="1" t="s">
        <v>1087</v>
      </c>
      <c r="K27" s="1" t="s">
        <v>1088</v>
      </c>
    </row>
    <row r="28" spans="1:21" x14ac:dyDescent="0.35">
      <c r="F28">
        <f>F26*N3/100</f>
        <v>20287.740900000001</v>
      </c>
      <c r="G28">
        <f t="shared" ref="G28:K28" si="2">G26*O3/100</f>
        <v>24016.704000000005</v>
      </c>
      <c r="H28">
        <f t="shared" si="2"/>
        <v>26157.1548</v>
      </c>
      <c r="I28">
        <f t="shared" si="2"/>
        <v>27401.003399999998</v>
      </c>
      <c r="J28">
        <f t="shared" si="2"/>
        <v>27325.682800000002</v>
      </c>
      <c r="K28">
        <f t="shared" si="2"/>
        <v>28002.374400000001</v>
      </c>
    </row>
    <row r="30" spans="1:21" x14ac:dyDescent="0.35">
      <c r="C30" s="125">
        <f>SUM(B33:B39)</f>
        <v>100.1</v>
      </c>
    </row>
    <row r="32" spans="1:21" x14ac:dyDescent="0.35">
      <c r="A32" s="1" t="s">
        <v>1082</v>
      </c>
      <c r="B32" s="1" t="s">
        <v>1083</v>
      </c>
      <c r="C32" s="1" t="s">
        <v>1084</v>
      </c>
      <c r="D32" s="1" t="s">
        <v>1085</v>
      </c>
      <c r="E32" s="1" t="s">
        <v>1086</v>
      </c>
      <c r="F32" s="1" t="s">
        <v>1087</v>
      </c>
      <c r="G32" s="79"/>
    </row>
    <row r="33" spans="1:11" x14ac:dyDescent="0.35">
      <c r="A33" s="22" t="s">
        <v>205</v>
      </c>
      <c r="B33" s="124">
        <v>45.3</v>
      </c>
      <c r="C33" s="23">
        <v>48</v>
      </c>
      <c r="D33" s="23">
        <v>48.3</v>
      </c>
      <c r="E33" s="23">
        <v>47.9</v>
      </c>
      <c r="F33" s="23">
        <v>46.1</v>
      </c>
      <c r="G33" s="293">
        <f>(C33-B33)/B33</f>
        <v>5.9602649006622585E-2</v>
      </c>
    </row>
    <row r="34" spans="1:11" x14ac:dyDescent="0.35">
      <c r="A34" s="22" t="s">
        <v>1502</v>
      </c>
      <c r="B34" s="124">
        <v>12.2</v>
      </c>
      <c r="C34" s="23">
        <v>13.9</v>
      </c>
      <c r="D34" s="23">
        <v>14.3</v>
      </c>
      <c r="E34" s="23">
        <v>14.8</v>
      </c>
      <c r="F34" s="23">
        <v>15.1</v>
      </c>
      <c r="G34" s="79"/>
    </row>
    <row r="35" spans="1:11" x14ac:dyDescent="0.35">
      <c r="A35" s="22" t="s">
        <v>1499</v>
      </c>
      <c r="B35" s="124">
        <v>17.600000000000001</v>
      </c>
      <c r="C35" s="23">
        <v>13.6</v>
      </c>
      <c r="D35" s="23">
        <v>11.4</v>
      </c>
      <c r="E35" s="23">
        <v>10.4</v>
      </c>
      <c r="F35" s="23">
        <v>10.4</v>
      </c>
      <c r="G35" s="79"/>
    </row>
    <row r="36" spans="1:11" x14ac:dyDescent="0.35">
      <c r="A36" s="22" t="s">
        <v>1543</v>
      </c>
      <c r="B36" s="124">
        <v>7.7</v>
      </c>
      <c r="C36" s="23">
        <v>7.9</v>
      </c>
      <c r="D36" s="23">
        <v>8.1999999999999993</v>
      </c>
      <c r="E36" s="23">
        <v>8.3000000000000007</v>
      </c>
      <c r="F36" s="23">
        <v>8.4</v>
      </c>
      <c r="G36" s="79"/>
      <c r="K36">
        <f>S3*K26/100</f>
        <v>28002.374400000001</v>
      </c>
    </row>
    <row r="37" spans="1:11" x14ac:dyDescent="0.35">
      <c r="A37" s="22" t="s">
        <v>1504</v>
      </c>
      <c r="B37" s="124">
        <v>2.6</v>
      </c>
      <c r="C37" s="23">
        <v>2.5</v>
      </c>
      <c r="D37" s="23">
        <v>3.2</v>
      </c>
      <c r="E37" s="23">
        <v>3.7</v>
      </c>
      <c r="F37" s="23">
        <v>4.5</v>
      </c>
      <c r="G37" s="79"/>
      <c r="K37">
        <f>K36/F97-1</f>
        <v>2.476394112281799E-2</v>
      </c>
    </row>
    <row r="38" spans="1:11" x14ac:dyDescent="0.35">
      <c r="A38" s="22" t="s">
        <v>1544</v>
      </c>
      <c r="B38" s="124">
        <v>4</v>
      </c>
      <c r="C38" s="23">
        <v>3.8</v>
      </c>
      <c r="D38" s="23">
        <v>4.0999999999999996</v>
      </c>
      <c r="E38" s="23">
        <v>4.2</v>
      </c>
      <c r="F38" s="23">
        <v>4.5999999999999996</v>
      </c>
      <c r="G38" s="79"/>
    </row>
    <row r="39" spans="1:11" x14ac:dyDescent="0.35">
      <c r="A39" s="22" t="s">
        <v>130</v>
      </c>
      <c r="B39" s="124">
        <f>SUM(B40:B52)</f>
        <v>10.7</v>
      </c>
      <c r="C39" s="23">
        <f t="shared" ref="C39:F39" si="3">SUM(C40:C52)</f>
        <v>10.299999999999999</v>
      </c>
      <c r="D39" s="23">
        <f t="shared" si="3"/>
        <v>10.4</v>
      </c>
      <c r="E39" s="23">
        <f t="shared" si="3"/>
        <v>10.700000000000001</v>
      </c>
      <c r="F39" s="23">
        <f t="shared" si="3"/>
        <v>11.1</v>
      </c>
      <c r="G39" s="79"/>
    </row>
    <row r="40" spans="1:11" x14ac:dyDescent="0.35">
      <c r="A40" s="17" t="s">
        <v>1533</v>
      </c>
      <c r="B40" s="5">
        <v>0.8</v>
      </c>
      <c r="C40" s="5">
        <v>1</v>
      </c>
      <c r="D40" s="5">
        <v>1.1000000000000001</v>
      </c>
      <c r="E40" s="5">
        <v>1.1000000000000001</v>
      </c>
      <c r="F40" s="5">
        <v>1.2</v>
      </c>
    </row>
    <row r="41" spans="1:11" x14ac:dyDescent="0.35">
      <c r="A41" s="17" t="s">
        <v>1092</v>
      </c>
      <c r="B41" s="5">
        <v>1.1000000000000001</v>
      </c>
      <c r="C41" s="5">
        <v>1.1000000000000001</v>
      </c>
      <c r="D41" s="5">
        <v>1.1000000000000001</v>
      </c>
      <c r="E41" s="5">
        <v>1.1000000000000001</v>
      </c>
      <c r="F41" s="5">
        <v>1.1000000000000001</v>
      </c>
    </row>
    <row r="42" spans="1:11" x14ac:dyDescent="0.35">
      <c r="A42" s="17" t="s">
        <v>1534</v>
      </c>
      <c r="B42" s="5">
        <v>0.7</v>
      </c>
      <c r="C42" s="5">
        <v>0.7</v>
      </c>
      <c r="D42" s="5">
        <v>0.7</v>
      </c>
      <c r="E42" s="5">
        <v>0.7</v>
      </c>
      <c r="F42" s="5">
        <v>0.8</v>
      </c>
    </row>
    <row r="43" spans="1:11" x14ac:dyDescent="0.35">
      <c r="A43" s="17" t="s">
        <v>1528</v>
      </c>
      <c r="B43" s="5">
        <v>1.2</v>
      </c>
      <c r="C43" s="5">
        <v>0.9</v>
      </c>
      <c r="D43" s="5">
        <v>0.8</v>
      </c>
      <c r="E43" s="5">
        <v>0.6</v>
      </c>
      <c r="F43" s="5">
        <v>0.6</v>
      </c>
    </row>
    <row r="44" spans="1:11" x14ac:dyDescent="0.35">
      <c r="A44" s="17" t="s">
        <v>1535</v>
      </c>
      <c r="B44" s="5">
        <v>0.8</v>
      </c>
      <c r="C44" s="5">
        <v>0.7</v>
      </c>
      <c r="D44" s="5">
        <v>0.6</v>
      </c>
      <c r="E44" s="5">
        <v>0.5</v>
      </c>
      <c r="F44" s="5">
        <v>0.5</v>
      </c>
    </row>
    <row r="45" spans="1:11" x14ac:dyDescent="0.35">
      <c r="A45" s="17" t="s">
        <v>1536</v>
      </c>
      <c r="B45" s="5">
        <v>0.6</v>
      </c>
      <c r="C45" s="5">
        <v>0.6</v>
      </c>
      <c r="D45" s="5">
        <v>0.5</v>
      </c>
      <c r="E45" s="5">
        <v>0.5</v>
      </c>
      <c r="F45" s="5">
        <v>0.5</v>
      </c>
    </row>
    <row r="46" spans="1:11" x14ac:dyDescent="0.35">
      <c r="A46" s="17" t="s">
        <v>1537</v>
      </c>
      <c r="B46" s="5">
        <v>0.4</v>
      </c>
      <c r="C46" s="5">
        <v>0.4</v>
      </c>
      <c r="D46" s="5">
        <v>0.4</v>
      </c>
      <c r="E46" s="5">
        <v>0.4</v>
      </c>
      <c r="F46" s="5">
        <v>0.5</v>
      </c>
    </row>
    <row r="47" spans="1:11" x14ac:dyDescent="0.35">
      <c r="A47" s="17" t="s">
        <v>1538</v>
      </c>
      <c r="B47" s="5">
        <v>0.3</v>
      </c>
      <c r="C47" s="5">
        <v>0.3</v>
      </c>
      <c r="D47" s="5">
        <v>0.4</v>
      </c>
      <c r="E47" s="5">
        <v>0.4</v>
      </c>
      <c r="F47" s="5">
        <v>0.4</v>
      </c>
    </row>
    <row r="48" spans="1:11" x14ac:dyDescent="0.35">
      <c r="A48" s="17" t="s">
        <v>1539</v>
      </c>
      <c r="B48" s="5">
        <v>0.4</v>
      </c>
      <c r="C48" s="5">
        <v>0.3</v>
      </c>
      <c r="D48" s="5">
        <v>0.3</v>
      </c>
      <c r="E48" s="5">
        <v>0.4</v>
      </c>
      <c r="F48" s="5">
        <v>0.4</v>
      </c>
    </row>
    <row r="49" spans="1:18" x14ac:dyDescent="0.35">
      <c r="A49" s="17" t="s">
        <v>1540</v>
      </c>
      <c r="B49" s="5">
        <v>0.1</v>
      </c>
      <c r="C49" s="5">
        <v>0.1</v>
      </c>
      <c r="D49" s="5">
        <v>0.1</v>
      </c>
      <c r="E49" s="5">
        <v>0.1</v>
      </c>
      <c r="F49" s="5">
        <v>0.1</v>
      </c>
    </row>
    <row r="50" spans="1:18" x14ac:dyDescent="0.35">
      <c r="A50" s="17" t="s">
        <v>1541</v>
      </c>
      <c r="B50" s="20" t="s">
        <v>202</v>
      </c>
      <c r="C50" s="20" t="s">
        <v>202</v>
      </c>
      <c r="D50" s="20" t="s">
        <v>202</v>
      </c>
      <c r="E50" s="20" t="s">
        <v>202</v>
      </c>
      <c r="F50" s="20" t="s">
        <v>202</v>
      </c>
    </row>
    <row r="51" spans="1:18" x14ac:dyDescent="0.35">
      <c r="A51" s="17" t="s">
        <v>1542</v>
      </c>
      <c r="B51" s="5">
        <v>0.5</v>
      </c>
      <c r="C51" s="20" t="s">
        <v>202</v>
      </c>
      <c r="D51" s="20" t="s">
        <v>202</v>
      </c>
      <c r="E51" s="20" t="s">
        <v>202</v>
      </c>
      <c r="F51" s="20" t="s">
        <v>202</v>
      </c>
    </row>
    <row r="52" spans="1:18" x14ac:dyDescent="0.35">
      <c r="A52" s="17" t="s">
        <v>130</v>
      </c>
      <c r="B52" s="5">
        <v>3.8</v>
      </c>
      <c r="C52" s="5">
        <v>4.2</v>
      </c>
      <c r="D52" s="5">
        <v>4.4000000000000004</v>
      </c>
      <c r="E52" s="5">
        <v>4.9000000000000004</v>
      </c>
      <c r="F52" s="5">
        <v>5</v>
      </c>
    </row>
    <row r="53" spans="1:18" x14ac:dyDescent="0.35">
      <c r="A53" s="17" t="s">
        <v>31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</row>
    <row r="55" spans="1:18" x14ac:dyDescent="0.35">
      <c r="B55" s="21">
        <f>SUM(B33:B39)</f>
        <v>100.1</v>
      </c>
    </row>
    <row r="56" spans="1:18" x14ac:dyDescent="0.35">
      <c r="A56" s="31"/>
      <c r="B56" s="31"/>
      <c r="C56" s="31"/>
      <c r="D56" s="31"/>
      <c r="E56" s="31"/>
      <c r="F56" s="31"/>
      <c r="G56" s="31"/>
      <c r="H56" s="31"/>
    </row>
    <row r="57" spans="1:18" x14ac:dyDescent="0.35">
      <c r="A57" s="32"/>
      <c r="B57" s="32"/>
      <c r="C57" s="32"/>
      <c r="D57" s="32"/>
      <c r="E57" s="32"/>
      <c r="F57" s="32"/>
      <c r="G57" s="32"/>
      <c r="H57" s="32"/>
    </row>
    <row r="58" spans="1:18" x14ac:dyDescent="0.35">
      <c r="A58" s="31"/>
      <c r="B58" s="31"/>
      <c r="C58" s="31"/>
      <c r="D58" s="31"/>
      <c r="E58" s="31"/>
      <c r="F58" s="31"/>
      <c r="G58" s="31"/>
      <c r="H58" s="31"/>
    </row>
    <row r="59" spans="1:18" x14ac:dyDescent="0.35">
      <c r="A59" s="31"/>
      <c r="B59" s="31"/>
      <c r="C59" s="31"/>
      <c r="D59" s="31"/>
      <c r="E59" s="31"/>
      <c r="F59" s="31"/>
      <c r="G59" s="31"/>
      <c r="H59" s="31"/>
    </row>
    <row r="60" spans="1:18" x14ac:dyDescent="0.35">
      <c r="A60" s="31" t="s">
        <v>1097</v>
      </c>
      <c r="B60" s="28"/>
      <c r="C60" s="28"/>
      <c r="D60" s="28"/>
      <c r="E60" s="28"/>
      <c r="F60" s="28"/>
      <c r="G60" s="28"/>
      <c r="H60" s="28"/>
    </row>
    <row r="61" spans="1:18" x14ac:dyDescent="0.35">
      <c r="A61" s="1" t="s">
        <v>173</v>
      </c>
      <c r="B61" s="1" t="s">
        <v>174</v>
      </c>
      <c r="C61" s="1" t="s">
        <v>1082</v>
      </c>
      <c r="D61" s="1" t="s">
        <v>1098</v>
      </c>
      <c r="E61" s="1" t="s">
        <v>175</v>
      </c>
      <c r="F61" s="1" t="s">
        <v>1099</v>
      </c>
      <c r="G61" s="1" t="s">
        <v>1100</v>
      </c>
      <c r="H61" s="1" t="s">
        <v>1101</v>
      </c>
      <c r="K61" s="1" t="s">
        <v>1082</v>
      </c>
      <c r="L61" s="1" t="s">
        <v>1100</v>
      </c>
      <c r="M61" s="1" t="s">
        <v>1101</v>
      </c>
      <c r="Q61" t="s">
        <v>192</v>
      </c>
      <c r="R61" t="s">
        <v>1545</v>
      </c>
    </row>
    <row r="62" spans="1:18" x14ac:dyDescent="0.35">
      <c r="A62" s="17" t="s">
        <v>177</v>
      </c>
      <c r="B62" s="18" t="s">
        <v>180</v>
      </c>
      <c r="C62" s="17" t="s">
        <v>1089</v>
      </c>
      <c r="D62" s="17" t="s">
        <v>1102</v>
      </c>
      <c r="E62" s="17" t="s">
        <v>0</v>
      </c>
      <c r="F62" s="30">
        <v>34.700000000000003</v>
      </c>
      <c r="G62" s="30">
        <v>7.7</v>
      </c>
      <c r="H62" s="30">
        <v>7033.2</v>
      </c>
      <c r="K62" s="22" t="s">
        <v>1089</v>
      </c>
      <c r="L62" s="83">
        <f>N62/100</f>
        <v>7.6999999999999999E-2</v>
      </c>
      <c r="M62" s="34">
        <v>7033.2</v>
      </c>
      <c r="N62" s="81">
        <v>7.7</v>
      </c>
      <c r="P62" t="str">
        <f>K62</f>
        <v>Vietnam Dairy Products JSC (Vinamilk)</v>
      </c>
      <c r="Q62" s="84">
        <f>L62</f>
        <v>7.6999999999999999E-2</v>
      </c>
      <c r="R62" s="555">
        <f>Q69</f>
        <v>9.1194805194805204E-2</v>
      </c>
    </row>
    <row r="63" spans="1:18" x14ac:dyDescent="0.35">
      <c r="A63" s="17" t="s">
        <v>177</v>
      </c>
      <c r="B63" s="18" t="s">
        <v>180</v>
      </c>
      <c r="C63" s="17" t="s">
        <v>1501</v>
      </c>
      <c r="D63" s="17" t="s">
        <v>1102</v>
      </c>
      <c r="E63" s="17" t="s">
        <v>0</v>
      </c>
      <c r="F63" s="30">
        <v>64</v>
      </c>
      <c r="G63" s="30">
        <v>13.2</v>
      </c>
      <c r="H63" s="30">
        <v>3481</v>
      </c>
      <c r="K63" s="22" t="s">
        <v>1501</v>
      </c>
      <c r="L63" s="83">
        <f t="shared" ref="L63:L68" si="4">N63/100</f>
        <v>0.13200000000000001</v>
      </c>
      <c r="M63" s="34">
        <v>3481</v>
      </c>
      <c r="N63" s="81">
        <v>13.2</v>
      </c>
      <c r="P63" t="str">
        <f t="shared" ref="P63:P69" si="5">K63</f>
        <v>TH Food Chain JSC</v>
      </c>
      <c r="Q63" s="84">
        <f t="shared" ref="Q63:Q69" si="6">L63</f>
        <v>0.13200000000000001</v>
      </c>
      <c r="R63" s="554"/>
    </row>
    <row r="64" spans="1:18" x14ac:dyDescent="0.35">
      <c r="A64" s="17" t="s">
        <v>177</v>
      </c>
      <c r="B64" s="18" t="s">
        <v>180</v>
      </c>
      <c r="C64" s="17" t="s">
        <v>1103</v>
      </c>
      <c r="D64" s="17" t="s">
        <v>1102</v>
      </c>
      <c r="E64" s="17" t="s">
        <v>0</v>
      </c>
      <c r="F64" s="30">
        <v>-25.4</v>
      </c>
      <c r="G64" s="30">
        <v>-7.1</v>
      </c>
      <c r="H64" s="30">
        <v>-1867.2</v>
      </c>
      <c r="K64" s="22" t="s">
        <v>1103</v>
      </c>
      <c r="L64" s="83">
        <f t="shared" si="4"/>
        <v>-7.0999999999999994E-2</v>
      </c>
      <c r="M64" s="34">
        <v>-1867.2</v>
      </c>
      <c r="N64" s="81">
        <v>-7.1</v>
      </c>
      <c r="P64" t="str">
        <f t="shared" si="5"/>
        <v>Royal FrieslandCampina NV</v>
      </c>
      <c r="Q64" s="84">
        <f t="shared" si="6"/>
        <v>-7.0999999999999994E-2</v>
      </c>
      <c r="R64" s="554"/>
    </row>
    <row r="65" spans="1:18" x14ac:dyDescent="0.35">
      <c r="A65" s="17" t="s">
        <v>177</v>
      </c>
      <c r="B65" s="18" t="s">
        <v>180</v>
      </c>
      <c r="C65" s="17" t="s">
        <v>1104</v>
      </c>
      <c r="D65" s="17" t="s">
        <v>1102</v>
      </c>
      <c r="E65" s="17" t="s">
        <v>0</v>
      </c>
      <c r="F65" s="30">
        <v>45.3</v>
      </c>
      <c r="G65" s="30">
        <v>9.8000000000000007</v>
      </c>
      <c r="H65" s="30">
        <v>1555.9</v>
      </c>
      <c r="K65" s="22" t="s">
        <v>1104</v>
      </c>
      <c r="L65" s="83">
        <f t="shared" si="4"/>
        <v>9.8000000000000004E-2</v>
      </c>
      <c r="M65" s="34">
        <v>1555.9</v>
      </c>
      <c r="N65" s="81">
        <v>9.8000000000000007</v>
      </c>
      <c r="P65" t="str">
        <f t="shared" si="5"/>
        <v>Nestlé SA</v>
      </c>
      <c r="Q65" s="84">
        <f t="shared" si="6"/>
        <v>9.8000000000000004E-2</v>
      </c>
      <c r="R65" s="554"/>
    </row>
    <row r="66" spans="1:18" x14ac:dyDescent="0.35">
      <c r="A66" s="17" t="s">
        <v>177</v>
      </c>
      <c r="B66" s="18" t="s">
        <v>180</v>
      </c>
      <c r="C66" s="17" t="s">
        <v>1503</v>
      </c>
      <c r="D66" s="17" t="s">
        <v>1102</v>
      </c>
      <c r="E66" s="17" t="s">
        <v>0</v>
      </c>
      <c r="F66" s="30">
        <v>135.5</v>
      </c>
      <c r="G66" s="30">
        <v>23.9</v>
      </c>
      <c r="H66" s="30">
        <v>1548.6</v>
      </c>
      <c r="K66" s="22" t="s">
        <v>1546</v>
      </c>
      <c r="L66" s="83">
        <f t="shared" si="4"/>
        <v>0.107</v>
      </c>
      <c r="M66" s="34">
        <v>905.2</v>
      </c>
      <c r="N66" s="81">
        <v>10.7</v>
      </c>
      <c r="P66" t="str">
        <f t="shared" si="5"/>
        <v>Coca-Cola Co, The</v>
      </c>
      <c r="Q66" s="84">
        <f t="shared" si="6"/>
        <v>0.107</v>
      </c>
      <c r="R66" s="554"/>
    </row>
    <row r="67" spans="1:18" x14ac:dyDescent="0.35">
      <c r="A67" s="17" t="s">
        <v>177</v>
      </c>
      <c r="B67" s="18" t="s">
        <v>180</v>
      </c>
      <c r="C67" s="17" t="s">
        <v>1546</v>
      </c>
      <c r="D67" s="17" t="s">
        <v>1102</v>
      </c>
      <c r="E67" s="17" t="s">
        <v>0</v>
      </c>
      <c r="F67" s="30">
        <v>50.3</v>
      </c>
      <c r="G67" s="30">
        <v>10.7</v>
      </c>
      <c r="H67" s="30">
        <v>905.2</v>
      </c>
      <c r="K67" s="22" t="s">
        <v>1503</v>
      </c>
      <c r="L67" s="83">
        <f t="shared" si="4"/>
        <v>0.23899999999999999</v>
      </c>
      <c r="M67" s="34">
        <v>1548.6</v>
      </c>
      <c r="N67" s="81">
        <v>23.9</v>
      </c>
      <c r="P67" t="str">
        <f t="shared" si="5"/>
        <v>International Dairy Products JSC (IDP)</v>
      </c>
      <c r="Q67" s="84">
        <f t="shared" si="6"/>
        <v>0.23899999999999999</v>
      </c>
      <c r="R67" s="554"/>
    </row>
    <row r="68" spans="1:18" x14ac:dyDescent="0.35">
      <c r="A68" s="17" t="s">
        <v>177</v>
      </c>
      <c r="B68" s="18" t="s">
        <v>180</v>
      </c>
      <c r="C68" s="17" t="s">
        <v>130</v>
      </c>
      <c r="D68" s="17" t="s">
        <v>1102</v>
      </c>
      <c r="E68" s="17" t="s">
        <v>0</v>
      </c>
      <c r="F68" s="30">
        <f>AVERAGE(F69:F85)</f>
        <v>28.609090909090909</v>
      </c>
      <c r="G68" s="30">
        <f t="shared" ref="G68:H68" si="7">AVERAGE(G69:G85)</f>
        <v>5.6363636363636367</v>
      </c>
      <c r="H68" s="30">
        <f t="shared" si="7"/>
        <v>173.64545454545453</v>
      </c>
      <c r="K68" s="22" t="s">
        <v>130</v>
      </c>
      <c r="L68" s="83">
        <f t="shared" si="4"/>
        <v>5.6363636363636366E-2</v>
      </c>
      <c r="M68" s="34">
        <f>AVERAGE(M70:M81)</f>
        <v>173.64545454545453</v>
      </c>
      <c r="N68" s="81">
        <f>AVERAGE(N70:N81)</f>
        <v>5.6363636363636367</v>
      </c>
      <c r="P68" t="str">
        <f t="shared" si="5"/>
        <v>Others</v>
      </c>
      <c r="Q68" s="84">
        <f t="shared" si="6"/>
        <v>5.6363636363636366E-2</v>
      </c>
      <c r="R68" s="554"/>
    </row>
    <row r="69" spans="1:18" x14ac:dyDescent="0.35">
      <c r="A69" s="17" t="s">
        <v>177</v>
      </c>
      <c r="B69" s="18" t="s">
        <v>180</v>
      </c>
      <c r="C69" s="17" t="s">
        <v>1533</v>
      </c>
      <c r="D69" s="17" t="s">
        <v>1102</v>
      </c>
      <c r="E69" s="17" t="s">
        <v>0</v>
      </c>
      <c r="F69" s="30">
        <v>84.7</v>
      </c>
      <c r="G69" s="30">
        <v>16.600000000000001</v>
      </c>
      <c r="H69" s="30">
        <v>321.5</v>
      </c>
      <c r="K69" s="17" t="s">
        <v>1106</v>
      </c>
      <c r="L69" s="82">
        <f>AVERAGE(L62:L68)</f>
        <v>9.1194805194805204E-2</v>
      </c>
      <c r="M69" s="82">
        <f>AVERAGE(M62:M68)</f>
        <v>1832.9064935064937</v>
      </c>
      <c r="N69" s="81"/>
      <c r="P69" t="str">
        <f t="shared" si="5"/>
        <v>Average</v>
      </c>
      <c r="Q69" s="84">
        <f t="shared" si="6"/>
        <v>9.1194805194805204E-2</v>
      </c>
    </row>
    <row r="70" spans="1:18" x14ac:dyDescent="0.35">
      <c r="A70" s="17" t="s">
        <v>177</v>
      </c>
      <c r="B70" s="18" t="s">
        <v>180</v>
      </c>
      <c r="C70" s="17" t="s">
        <v>1547</v>
      </c>
      <c r="D70" s="17" t="s">
        <v>1102</v>
      </c>
      <c r="E70" s="17" t="s">
        <v>0</v>
      </c>
      <c r="F70" s="30">
        <v>27.7</v>
      </c>
      <c r="G70" s="30">
        <v>6.3</v>
      </c>
      <c r="H70" s="30">
        <v>147.80000000000001</v>
      </c>
      <c r="K70" s="17" t="s">
        <v>1533</v>
      </c>
      <c r="L70" s="30">
        <v>16.600000000000001</v>
      </c>
      <c r="M70" s="30">
        <v>321.5</v>
      </c>
      <c r="N70" s="30">
        <v>16.600000000000001</v>
      </c>
    </row>
    <row r="71" spans="1:18" x14ac:dyDescent="0.35">
      <c r="A71" s="17" t="s">
        <v>177</v>
      </c>
      <c r="B71" s="18" t="s">
        <v>180</v>
      </c>
      <c r="C71" s="17" t="s">
        <v>1092</v>
      </c>
      <c r="D71" s="17" t="s">
        <v>1102</v>
      </c>
      <c r="E71" s="17" t="s">
        <v>0</v>
      </c>
      <c r="F71" s="30">
        <v>28.2</v>
      </c>
      <c r="G71" s="30">
        <v>6.4</v>
      </c>
      <c r="H71" s="30">
        <v>137.9</v>
      </c>
      <c r="K71" s="17" t="s">
        <v>1547</v>
      </c>
      <c r="L71" s="30">
        <v>6.3</v>
      </c>
      <c r="M71" s="30">
        <v>147.80000000000001</v>
      </c>
      <c r="N71" s="30">
        <v>6.3</v>
      </c>
    </row>
    <row r="72" spans="1:18" x14ac:dyDescent="0.35">
      <c r="A72" s="17" t="s">
        <v>177</v>
      </c>
      <c r="B72" s="18" t="s">
        <v>180</v>
      </c>
      <c r="C72" s="17" t="s">
        <v>1548</v>
      </c>
      <c r="D72" s="17" t="s">
        <v>1102</v>
      </c>
      <c r="E72" s="17" t="s">
        <v>0</v>
      </c>
      <c r="F72" s="20" t="s">
        <v>202</v>
      </c>
      <c r="G72" s="20" t="s">
        <v>202</v>
      </c>
      <c r="H72" s="20" t="s">
        <v>202</v>
      </c>
      <c r="K72" s="17" t="s">
        <v>1092</v>
      </c>
      <c r="L72" s="30">
        <v>6.4</v>
      </c>
      <c r="M72" s="30">
        <v>137.9</v>
      </c>
      <c r="N72" s="30">
        <v>6.4</v>
      </c>
    </row>
    <row r="73" spans="1:18" x14ac:dyDescent="0.35">
      <c r="A73" s="17" t="s">
        <v>177</v>
      </c>
      <c r="B73" s="18" t="s">
        <v>180</v>
      </c>
      <c r="C73" s="17" t="s">
        <v>1549</v>
      </c>
      <c r="D73" s="17" t="s">
        <v>1102</v>
      </c>
      <c r="E73" s="17" t="s">
        <v>0</v>
      </c>
      <c r="F73" s="30">
        <v>-32.1</v>
      </c>
      <c r="G73" s="30">
        <v>-9.1999999999999993</v>
      </c>
      <c r="H73" s="30">
        <v>-168.7</v>
      </c>
      <c r="K73" s="17" t="s">
        <v>1548</v>
      </c>
      <c r="L73" s="20" t="s">
        <v>202</v>
      </c>
      <c r="M73" s="20" t="s">
        <v>202</v>
      </c>
      <c r="N73" s="20" t="s">
        <v>202</v>
      </c>
    </row>
    <row r="74" spans="1:18" x14ac:dyDescent="0.35">
      <c r="A74" s="17" t="s">
        <v>177</v>
      </c>
      <c r="B74" s="18" t="s">
        <v>180</v>
      </c>
      <c r="C74" s="17" t="s">
        <v>1550</v>
      </c>
      <c r="D74" s="17" t="s">
        <v>1102</v>
      </c>
      <c r="E74" s="17" t="s">
        <v>0</v>
      </c>
      <c r="F74" s="30">
        <v>-14.6</v>
      </c>
      <c r="G74" s="30">
        <v>-3.9</v>
      </c>
      <c r="H74" s="30">
        <v>-52.6</v>
      </c>
      <c r="K74" s="17" t="s">
        <v>1549</v>
      </c>
      <c r="L74" s="30">
        <v>-9.1999999999999993</v>
      </c>
      <c r="M74" s="30">
        <v>-168.7</v>
      </c>
      <c r="N74" s="30">
        <v>-9.1999999999999993</v>
      </c>
    </row>
    <row r="75" spans="1:18" x14ac:dyDescent="0.35">
      <c r="A75" s="17" t="s">
        <v>177</v>
      </c>
      <c r="B75" s="18" t="s">
        <v>180</v>
      </c>
      <c r="C75" s="17" t="s">
        <v>1551</v>
      </c>
      <c r="D75" s="17" t="s">
        <v>1102</v>
      </c>
      <c r="E75" s="17" t="s">
        <v>0</v>
      </c>
      <c r="F75" s="30">
        <v>12.5</v>
      </c>
      <c r="G75" s="30">
        <v>3</v>
      </c>
      <c r="H75" s="30">
        <v>33.6</v>
      </c>
      <c r="K75" s="17" t="s">
        <v>1550</v>
      </c>
      <c r="L75" s="30">
        <v>-3.9</v>
      </c>
      <c r="M75" s="30">
        <v>-52.6</v>
      </c>
      <c r="N75" s="30">
        <v>-3.9</v>
      </c>
    </row>
    <row r="76" spans="1:18" x14ac:dyDescent="0.35">
      <c r="A76" s="17" t="s">
        <v>177</v>
      </c>
      <c r="B76" s="18" t="s">
        <v>180</v>
      </c>
      <c r="C76" s="17" t="s">
        <v>1552</v>
      </c>
      <c r="D76" s="17" t="s">
        <v>1102</v>
      </c>
      <c r="E76" s="17" t="s">
        <v>0</v>
      </c>
      <c r="F76" s="30">
        <v>47.6</v>
      </c>
      <c r="G76" s="30">
        <v>10.199999999999999</v>
      </c>
      <c r="H76" s="30">
        <v>87.1</v>
      </c>
      <c r="K76" s="17" t="s">
        <v>1551</v>
      </c>
      <c r="L76" s="30">
        <v>3</v>
      </c>
      <c r="M76" s="30">
        <v>33.6</v>
      </c>
      <c r="N76" s="30">
        <v>3</v>
      </c>
    </row>
    <row r="77" spans="1:18" x14ac:dyDescent="0.35">
      <c r="A77" s="17" t="s">
        <v>177</v>
      </c>
      <c r="B77" s="18" t="s">
        <v>180</v>
      </c>
      <c r="C77" s="17" t="s">
        <v>1553</v>
      </c>
      <c r="D77" s="17" t="s">
        <v>1102</v>
      </c>
      <c r="E77" s="17" t="s">
        <v>0</v>
      </c>
      <c r="F77" s="30">
        <v>72.400000000000006</v>
      </c>
      <c r="G77" s="30">
        <v>14.6</v>
      </c>
      <c r="H77" s="30">
        <v>102.9</v>
      </c>
      <c r="K77" s="17" t="s">
        <v>1552</v>
      </c>
      <c r="L77" s="30">
        <v>10.199999999999999</v>
      </c>
      <c r="M77" s="30">
        <v>87.1</v>
      </c>
      <c r="N77" s="30">
        <v>10.199999999999999</v>
      </c>
    </row>
    <row r="78" spans="1:18" x14ac:dyDescent="0.35">
      <c r="A78" s="17" t="s">
        <v>177</v>
      </c>
      <c r="B78" s="18" t="s">
        <v>180</v>
      </c>
      <c r="C78" s="17" t="s">
        <v>1539</v>
      </c>
      <c r="D78" s="17" t="s">
        <v>1102</v>
      </c>
      <c r="E78" s="17" t="s">
        <v>0</v>
      </c>
      <c r="F78" s="30">
        <v>16.100000000000001</v>
      </c>
      <c r="G78" s="30">
        <v>3.8</v>
      </c>
      <c r="H78" s="30">
        <v>31.8</v>
      </c>
      <c r="K78" s="17" t="s">
        <v>1553</v>
      </c>
      <c r="L78" s="30">
        <v>14.6</v>
      </c>
      <c r="M78" s="30">
        <v>102.9</v>
      </c>
      <c r="N78" s="30">
        <v>14.6</v>
      </c>
    </row>
    <row r="79" spans="1:18" x14ac:dyDescent="0.35">
      <c r="A79" s="17" t="s">
        <v>177</v>
      </c>
      <c r="B79" s="18" t="s">
        <v>180</v>
      </c>
      <c r="C79" s="17" t="s">
        <v>1540</v>
      </c>
      <c r="D79" s="17" t="s">
        <v>1102</v>
      </c>
      <c r="E79" s="17" t="s">
        <v>0</v>
      </c>
      <c r="F79" s="30">
        <v>-3.4</v>
      </c>
      <c r="G79" s="30">
        <v>-0.9</v>
      </c>
      <c r="H79" s="30">
        <v>-2.1</v>
      </c>
      <c r="K79" s="17" t="s">
        <v>1539</v>
      </c>
      <c r="L79" s="30">
        <v>3.8</v>
      </c>
      <c r="M79" s="30">
        <v>31.8</v>
      </c>
      <c r="N79" s="30">
        <v>3.8</v>
      </c>
    </row>
    <row r="80" spans="1:18" x14ac:dyDescent="0.35">
      <c r="A80" s="17" t="s">
        <v>177</v>
      </c>
      <c r="B80" s="18" t="s">
        <v>180</v>
      </c>
      <c r="C80" s="17" t="s">
        <v>1541</v>
      </c>
      <c r="D80" s="17" t="s">
        <v>1102</v>
      </c>
      <c r="E80" s="17" t="s">
        <v>0</v>
      </c>
      <c r="F80" s="20" t="s">
        <v>202</v>
      </c>
      <c r="G80" s="20" t="s">
        <v>202</v>
      </c>
      <c r="H80" s="20" t="s">
        <v>202</v>
      </c>
      <c r="K80" s="17" t="s">
        <v>1540</v>
      </c>
      <c r="L80" s="30">
        <v>-0.9</v>
      </c>
      <c r="M80" s="30">
        <v>-2.1</v>
      </c>
      <c r="N80" s="30">
        <v>-0.9</v>
      </c>
    </row>
    <row r="81" spans="1:14" x14ac:dyDescent="0.35">
      <c r="A81" s="17" t="s">
        <v>177</v>
      </c>
      <c r="B81" s="18" t="s">
        <v>180</v>
      </c>
      <c r="C81" s="17" t="s">
        <v>1554</v>
      </c>
      <c r="D81" s="17" t="s">
        <v>1102</v>
      </c>
      <c r="E81" s="17" t="s">
        <v>0</v>
      </c>
      <c r="F81" s="20" t="s">
        <v>202</v>
      </c>
      <c r="G81" s="20" t="s">
        <v>202</v>
      </c>
      <c r="H81" s="20" t="s">
        <v>202</v>
      </c>
      <c r="K81" s="17" t="s">
        <v>130</v>
      </c>
      <c r="L81" s="30">
        <v>15.1</v>
      </c>
      <c r="M81" s="30">
        <v>1270.9000000000001</v>
      </c>
      <c r="N81" s="30">
        <v>15.1</v>
      </c>
    </row>
    <row r="82" spans="1:14" x14ac:dyDescent="0.35">
      <c r="A82" s="17" t="s">
        <v>177</v>
      </c>
      <c r="B82" s="18" t="s">
        <v>180</v>
      </c>
      <c r="C82" s="17" t="s">
        <v>1555</v>
      </c>
      <c r="D82" s="17" t="s">
        <v>1102</v>
      </c>
      <c r="E82" s="17" t="s">
        <v>0</v>
      </c>
      <c r="F82" s="20" t="s">
        <v>202</v>
      </c>
      <c r="G82" s="20" t="s">
        <v>202</v>
      </c>
      <c r="H82" s="20" t="s">
        <v>202</v>
      </c>
      <c r="K82" s="17" t="s">
        <v>31</v>
      </c>
      <c r="L82" s="30">
        <v>7.3</v>
      </c>
      <c r="M82" s="30">
        <v>14489.5</v>
      </c>
      <c r="N82" s="30">
        <v>7.3</v>
      </c>
    </row>
    <row r="83" spans="1:14" x14ac:dyDescent="0.35">
      <c r="A83" s="17" t="s">
        <v>177</v>
      </c>
      <c r="B83" s="18" t="s">
        <v>180</v>
      </c>
      <c r="C83" s="17" t="s">
        <v>1542</v>
      </c>
      <c r="D83" s="17" t="s">
        <v>1102</v>
      </c>
      <c r="E83" s="17" t="s">
        <v>0</v>
      </c>
      <c r="F83" s="20" t="s">
        <v>202</v>
      </c>
      <c r="G83" s="20" t="s">
        <v>202</v>
      </c>
      <c r="H83" s="20" t="s">
        <v>202</v>
      </c>
    </row>
    <row r="84" spans="1:14" x14ac:dyDescent="0.35">
      <c r="A84" s="17" t="s">
        <v>177</v>
      </c>
      <c r="B84" s="18" t="s">
        <v>180</v>
      </c>
      <c r="C84" s="17" t="s">
        <v>1537</v>
      </c>
      <c r="D84" s="17" t="s">
        <v>1102</v>
      </c>
      <c r="E84" s="17" t="s">
        <v>0</v>
      </c>
      <c r="F84" s="20" t="s">
        <v>202</v>
      </c>
      <c r="G84" s="20" t="s">
        <v>202</v>
      </c>
      <c r="H84" s="20" t="s">
        <v>202</v>
      </c>
    </row>
    <row r="85" spans="1:14" x14ac:dyDescent="0.35">
      <c r="A85" s="17" t="s">
        <v>177</v>
      </c>
      <c r="B85" s="18" t="s">
        <v>180</v>
      </c>
      <c r="C85" s="17" t="s">
        <v>130</v>
      </c>
      <c r="D85" s="17" t="s">
        <v>1102</v>
      </c>
      <c r="E85" s="17" t="s">
        <v>0</v>
      </c>
      <c r="F85" s="30">
        <v>75.599999999999994</v>
      </c>
      <c r="G85" s="30">
        <v>15.1</v>
      </c>
      <c r="H85" s="30">
        <v>1270.9000000000001</v>
      </c>
    </row>
    <row r="86" spans="1:14" x14ac:dyDescent="0.35">
      <c r="A86" s="17" t="s">
        <v>177</v>
      </c>
      <c r="B86" s="18" t="s">
        <v>180</v>
      </c>
      <c r="C86" s="17" t="s">
        <v>31</v>
      </c>
      <c r="D86" s="17" t="s">
        <v>1102</v>
      </c>
      <c r="E86" s="17" t="s">
        <v>0</v>
      </c>
      <c r="F86" s="30">
        <v>32.4</v>
      </c>
      <c r="G86" s="30">
        <v>7.3</v>
      </c>
      <c r="H86" s="30">
        <v>14489.5</v>
      </c>
    </row>
    <row r="87" spans="1:14" x14ac:dyDescent="0.35">
      <c r="G87" s="37">
        <f>AVERAGE(G62:G85)</f>
        <v>6.9909090909090894</v>
      </c>
    </row>
    <row r="88" spans="1:14" x14ac:dyDescent="0.35">
      <c r="A88" s="33" t="s">
        <v>1093</v>
      </c>
      <c r="B88" s="27"/>
      <c r="C88" s="27"/>
      <c r="D88" s="27"/>
      <c r="E88" s="27"/>
      <c r="F88" s="27"/>
      <c r="G88" s="27"/>
      <c r="H88" s="27"/>
    </row>
    <row r="89" spans="1:14" x14ac:dyDescent="0.35">
      <c r="A89" s="28" t="s">
        <v>1094</v>
      </c>
    </row>
    <row r="91" spans="1:14" x14ac:dyDescent="0.35">
      <c r="A91" s="28" t="s">
        <v>1556</v>
      </c>
    </row>
    <row r="92" spans="1:14" x14ac:dyDescent="0.35">
      <c r="A92" s="28" t="s">
        <v>1096</v>
      </c>
    </row>
    <row r="96" spans="1:14" x14ac:dyDescent="0.35">
      <c r="B96" s="79">
        <v>2018</v>
      </c>
      <c r="C96" s="79">
        <v>2019</v>
      </c>
      <c r="D96" s="79">
        <v>2020</v>
      </c>
      <c r="E96" s="79">
        <v>2021</v>
      </c>
      <c r="F96" s="79">
        <v>2022</v>
      </c>
      <c r="G96" t="s">
        <v>192</v>
      </c>
    </row>
    <row r="97" spans="1:11" x14ac:dyDescent="0.35">
      <c r="A97" s="22" t="s">
        <v>1508</v>
      </c>
      <c r="B97">
        <f>$F$26*B33/100</f>
        <v>20287.740900000001</v>
      </c>
      <c r="C97">
        <f t="shared" ref="C97" si="8">$G$26*C33/100</f>
        <v>24016.704000000005</v>
      </c>
      <c r="D97">
        <f>$H$26*D33/100</f>
        <v>26157.1548</v>
      </c>
      <c r="E97">
        <f t="shared" ref="E97" si="9">$I$26*E33/100</f>
        <v>27401.003399999998</v>
      </c>
      <c r="F97">
        <f>$J$26*F33/100</f>
        <v>27325.682800000002</v>
      </c>
      <c r="G97" s="82">
        <f t="shared" ref="G97:G103" si="10">G62/100</f>
        <v>7.6999999999999999E-2</v>
      </c>
    </row>
    <row r="98" spans="1:11" x14ac:dyDescent="0.35">
      <c r="A98" s="22" t="s">
        <v>1501</v>
      </c>
      <c r="B98">
        <f t="shared" ref="B98:B103" si="11">$F$26*B34/100</f>
        <v>5463.8065999999999</v>
      </c>
      <c r="C98">
        <f t="shared" ref="C98:C103" si="12">$G$26*C34/100</f>
        <v>6954.8372000000008</v>
      </c>
      <c r="D98">
        <f t="shared" ref="D98:D103" si="13">$H$26*D34/100</f>
        <v>7744.2508000000007</v>
      </c>
      <c r="E98">
        <f t="shared" ref="E98:E103" si="14">$I$26*E34/100</f>
        <v>8466.2808000000005</v>
      </c>
      <c r="F98">
        <f>$J$26*F34/100</f>
        <v>8950.4948000000004</v>
      </c>
      <c r="G98" s="82">
        <f t="shared" si="10"/>
        <v>0.13200000000000001</v>
      </c>
    </row>
    <row r="99" spans="1:11" x14ac:dyDescent="0.35">
      <c r="A99" s="22" t="s">
        <v>1090</v>
      </c>
      <c r="B99">
        <f t="shared" si="11"/>
        <v>7882.2128000000012</v>
      </c>
      <c r="C99">
        <f t="shared" si="12"/>
        <v>6804.7328000000007</v>
      </c>
      <c r="D99">
        <f t="shared" si="13"/>
        <v>6173.7383999999993</v>
      </c>
      <c r="E99">
        <f t="shared" si="14"/>
        <v>5949.2783999999992</v>
      </c>
      <c r="F99">
        <f t="shared" ref="F99:F103" si="15">$J$26*F35/100</f>
        <v>6164.5792000000001</v>
      </c>
      <c r="G99" s="82">
        <f t="shared" si="10"/>
        <v>-7.0999999999999994E-2</v>
      </c>
    </row>
    <row r="100" spans="1:11" x14ac:dyDescent="0.35">
      <c r="A100" s="22" t="s">
        <v>1091</v>
      </c>
      <c r="B100">
        <f t="shared" si="11"/>
        <v>3448.4681000000005</v>
      </c>
      <c r="C100">
        <f t="shared" si="12"/>
        <v>3952.7492000000002</v>
      </c>
      <c r="D100">
        <f t="shared" si="13"/>
        <v>4440.7591999999995</v>
      </c>
      <c r="E100">
        <f t="shared" si="14"/>
        <v>4747.9818000000005</v>
      </c>
      <c r="F100">
        <f t="shared" si="15"/>
        <v>4979.0832000000009</v>
      </c>
      <c r="G100" s="82">
        <f t="shared" si="10"/>
        <v>9.8000000000000004E-2</v>
      </c>
    </row>
    <row r="101" spans="1:11" x14ac:dyDescent="0.35">
      <c r="A101" s="22" t="s">
        <v>1557</v>
      </c>
      <c r="B101">
        <f t="shared" si="11"/>
        <v>1164.4178000000002</v>
      </c>
      <c r="C101">
        <f t="shared" si="12"/>
        <v>1250.8699999999999</v>
      </c>
      <c r="D101">
        <f t="shared" si="13"/>
        <v>1732.9792000000002</v>
      </c>
      <c r="E101">
        <f t="shared" si="14"/>
        <v>2116.5702000000001</v>
      </c>
      <c r="F101">
        <f t="shared" si="15"/>
        <v>2667.3660000000004</v>
      </c>
      <c r="G101" s="82">
        <f t="shared" si="10"/>
        <v>0.23899999999999999</v>
      </c>
    </row>
    <row r="102" spans="1:11" x14ac:dyDescent="0.35">
      <c r="A102" s="22" t="s">
        <v>1532</v>
      </c>
      <c r="B102">
        <f t="shared" si="11"/>
        <v>1791.412</v>
      </c>
      <c r="C102">
        <f t="shared" si="12"/>
        <v>1901.3224</v>
      </c>
      <c r="D102">
        <f t="shared" si="13"/>
        <v>2220.3795999999998</v>
      </c>
      <c r="E102">
        <f t="shared" si="14"/>
        <v>2402.5932000000003</v>
      </c>
      <c r="F102">
        <f t="shared" si="15"/>
        <v>2726.6408000000001</v>
      </c>
      <c r="G102" s="82">
        <f t="shared" si="10"/>
        <v>0.107</v>
      </c>
    </row>
    <row r="103" spans="1:11" x14ac:dyDescent="0.35">
      <c r="A103" s="22" t="s">
        <v>130</v>
      </c>
      <c r="B103">
        <f t="shared" si="11"/>
        <v>4792.0271000000002</v>
      </c>
      <c r="C103">
        <f t="shared" si="12"/>
        <v>5153.5843999999997</v>
      </c>
      <c r="D103">
        <f t="shared" si="13"/>
        <v>5632.1823999999997</v>
      </c>
      <c r="E103">
        <f t="shared" si="14"/>
        <v>6120.8922000000011</v>
      </c>
      <c r="F103">
        <f t="shared" si="15"/>
        <v>6579.5028000000002</v>
      </c>
      <c r="G103" s="82">
        <f t="shared" si="10"/>
        <v>5.6363636363636366E-2</v>
      </c>
    </row>
    <row r="104" spans="1:11" x14ac:dyDescent="0.35">
      <c r="A104" s="22" t="s">
        <v>1558</v>
      </c>
      <c r="B104">
        <f>SUM(B97:B103)</f>
        <v>44830.085299999999</v>
      </c>
      <c r="C104">
        <f>SUM(C97:C103)</f>
        <v>50034.8</v>
      </c>
      <c r="D104">
        <f>SUM(D97:D103)</f>
        <v>54101.4444</v>
      </c>
      <c r="E104">
        <f>SUM(E97:E103)</f>
        <v>57204.6</v>
      </c>
      <c r="F104">
        <f>SUM(F97:F103)</f>
        <v>59393.349600000009</v>
      </c>
    </row>
    <row r="107" spans="1:1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 x14ac:dyDescent="0.3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</row>
    <row r="109" spans="1:1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 x14ac:dyDescent="0.35">
      <c r="A111" s="31" t="s">
        <v>1107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pans="1:11" x14ac:dyDescent="0.35">
      <c r="A112" s="1" t="s">
        <v>173</v>
      </c>
      <c r="B112" s="1" t="s">
        <v>174</v>
      </c>
      <c r="C112" s="1" t="s">
        <v>1108</v>
      </c>
      <c r="D112" s="1" t="s">
        <v>1109</v>
      </c>
      <c r="E112" s="1" t="s">
        <v>1098</v>
      </c>
      <c r="F112" s="1" t="s">
        <v>1083</v>
      </c>
      <c r="G112" s="1" t="s">
        <v>1084</v>
      </c>
      <c r="H112" s="1" t="s">
        <v>1085</v>
      </c>
      <c r="I112" s="1" t="s">
        <v>1086</v>
      </c>
      <c r="J112" s="1" t="s">
        <v>1087</v>
      </c>
      <c r="K112" s="1" t="s">
        <v>1088</v>
      </c>
    </row>
    <row r="113" spans="1:11" x14ac:dyDescent="0.35">
      <c r="A113" s="17" t="s">
        <v>177</v>
      </c>
      <c r="B113" s="18" t="s">
        <v>180</v>
      </c>
      <c r="C113" s="17" t="s">
        <v>1559</v>
      </c>
      <c r="D113" s="17" t="s">
        <v>1089</v>
      </c>
      <c r="E113" s="17" t="s">
        <v>1102</v>
      </c>
      <c r="F113" s="30">
        <v>38.299999999999997</v>
      </c>
      <c r="G113" s="30">
        <v>40.799999999999997</v>
      </c>
      <c r="H113" s="30">
        <v>41.1</v>
      </c>
      <c r="I113" s="30">
        <v>40.700000000000003</v>
      </c>
      <c r="J113" s="30">
        <v>39.1</v>
      </c>
      <c r="K113" s="30">
        <v>38.1</v>
      </c>
    </row>
    <row r="114" spans="1:11" x14ac:dyDescent="0.35">
      <c r="A114" s="17" t="s">
        <v>177</v>
      </c>
      <c r="B114" s="18" t="s">
        <v>180</v>
      </c>
      <c r="C114" s="17" t="s">
        <v>1560</v>
      </c>
      <c r="D114" s="17" t="s">
        <v>1501</v>
      </c>
      <c r="E114" s="17" t="s">
        <v>1102</v>
      </c>
      <c r="F114" s="30">
        <v>11.1</v>
      </c>
      <c r="G114" s="30">
        <v>12.3</v>
      </c>
      <c r="H114" s="30">
        <v>12.9</v>
      </c>
      <c r="I114" s="30">
        <v>13.3</v>
      </c>
      <c r="J114" s="30">
        <v>13.5</v>
      </c>
      <c r="K114" s="30">
        <v>13.5</v>
      </c>
    </row>
    <row r="115" spans="1:11" x14ac:dyDescent="0.35">
      <c r="A115" s="17" t="s">
        <v>177</v>
      </c>
      <c r="B115" s="18" t="s">
        <v>180</v>
      </c>
      <c r="C115" s="17" t="s">
        <v>1561</v>
      </c>
      <c r="D115" s="17" t="s">
        <v>1091</v>
      </c>
      <c r="E115" s="17" t="s">
        <v>1102</v>
      </c>
      <c r="F115" s="30">
        <v>7.7</v>
      </c>
      <c r="G115" s="30">
        <v>7.9</v>
      </c>
      <c r="H115" s="30">
        <v>8.1999999999999993</v>
      </c>
      <c r="I115" s="30">
        <v>8.3000000000000007</v>
      </c>
      <c r="J115" s="30">
        <v>8.4</v>
      </c>
      <c r="K115" s="30">
        <v>8.4</v>
      </c>
    </row>
    <row r="116" spans="1:11" x14ac:dyDescent="0.35">
      <c r="A116" s="17" t="s">
        <v>177</v>
      </c>
      <c r="B116" s="18" t="s">
        <v>180</v>
      </c>
      <c r="C116" s="17" t="s">
        <v>1112</v>
      </c>
      <c r="D116" s="17" t="s">
        <v>1090</v>
      </c>
      <c r="E116" s="17" t="s">
        <v>1102</v>
      </c>
      <c r="F116" s="30">
        <v>15.5</v>
      </c>
      <c r="G116" s="30">
        <v>11.4</v>
      </c>
      <c r="H116" s="30">
        <v>9.1999999999999993</v>
      </c>
      <c r="I116" s="30">
        <v>8.3000000000000007</v>
      </c>
      <c r="J116" s="30">
        <v>8.1999999999999993</v>
      </c>
      <c r="K116" s="30">
        <v>8</v>
      </c>
    </row>
    <row r="117" spans="1:11" x14ac:dyDescent="0.35">
      <c r="A117" s="17" t="s">
        <v>177</v>
      </c>
      <c r="B117" s="18" t="s">
        <v>180</v>
      </c>
      <c r="C117" s="17" t="s">
        <v>1519</v>
      </c>
      <c r="D117" s="17" t="s">
        <v>1503</v>
      </c>
      <c r="E117" s="17" t="s">
        <v>1102</v>
      </c>
      <c r="F117" s="30">
        <v>2.5</v>
      </c>
      <c r="G117" s="30">
        <v>2.4</v>
      </c>
      <c r="H117" s="30">
        <v>3.1</v>
      </c>
      <c r="I117" s="30">
        <v>3.7</v>
      </c>
      <c r="J117" s="30">
        <v>4.5</v>
      </c>
      <c r="K117" s="30">
        <v>5.3</v>
      </c>
    </row>
    <row r="118" spans="1:11" x14ac:dyDescent="0.35">
      <c r="A118" s="17" t="s">
        <v>177</v>
      </c>
      <c r="B118" s="18" t="s">
        <v>180</v>
      </c>
      <c r="C118" s="17" t="s">
        <v>1562</v>
      </c>
      <c r="D118" s="17" t="s">
        <v>1532</v>
      </c>
      <c r="E118" s="17" t="s">
        <v>1102</v>
      </c>
      <c r="F118" s="30">
        <v>4</v>
      </c>
      <c r="G118" s="30">
        <v>3.8</v>
      </c>
      <c r="H118" s="30">
        <v>4.0999999999999996</v>
      </c>
      <c r="I118" s="30">
        <v>4.2</v>
      </c>
      <c r="J118" s="30">
        <v>4.5999999999999996</v>
      </c>
      <c r="K118" s="30">
        <v>4.9000000000000004</v>
      </c>
    </row>
    <row r="119" spans="1:11" x14ac:dyDescent="0.35">
      <c r="A119" s="17" t="s">
        <v>177</v>
      </c>
      <c r="B119" s="18" t="s">
        <v>180</v>
      </c>
      <c r="C119" s="17" t="s">
        <v>1563</v>
      </c>
      <c r="D119" s="17" t="s">
        <v>1533</v>
      </c>
      <c r="E119" s="17" t="s">
        <v>1102</v>
      </c>
      <c r="F119" s="30">
        <v>0.8</v>
      </c>
      <c r="G119" s="30">
        <v>1</v>
      </c>
      <c r="H119" s="30">
        <v>1.1000000000000001</v>
      </c>
      <c r="I119" s="30">
        <v>1.1000000000000001</v>
      </c>
      <c r="J119" s="30">
        <v>1.2</v>
      </c>
      <c r="K119" s="30">
        <v>1.2</v>
      </c>
    </row>
    <row r="120" spans="1:11" x14ac:dyDescent="0.35">
      <c r="A120" s="17" t="s">
        <v>177</v>
      </c>
      <c r="B120" s="18" t="s">
        <v>180</v>
      </c>
      <c r="C120" s="17" t="s">
        <v>1564</v>
      </c>
      <c r="D120" s="17" t="s">
        <v>1090</v>
      </c>
      <c r="E120" s="17" t="s">
        <v>1102</v>
      </c>
      <c r="F120" s="30">
        <v>1.2</v>
      </c>
      <c r="G120" s="30">
        <v>1.2</v>
      </c>
      <c r="H120" s="30">
        <v>1.2</v>
      </c>
      <c r="I120" s="30">
        <v>1.1000000000000001</v>
      </c>
      <c r="J120" s="30">
        <v>1.1000000000000001</v>
      </c>
      <c r="K120" s="30">
        <v>1.2</v>
      </c>
    </row>
    <row r="121" spans="1:11" x14ac:dyDescent="0.35">
      <c r="A121" s="17" t="s">
        <v>177</v>
      </c>
      <c r="B121" s="18" t="s">
        <v>180</v>
      </c>
      <c r="C121" s="17" t="s">
        <v>1565</v>
      </c>
      <c r="D121" s="17" t="s">
        <v>1501</v>
      </c>
      <c r="E121" s="17" t="s">
        <v>1102</v>
      </c>
      <c r="F121" s="30">
        <v>1</v>
      </c>
      <c r="G121" s="30">
        <v>1</v>
      </c>
      <c r="H121" s="30">
        <v>1</v>
      </c>
      <c r="I121" s="30">
        <v>1</v>
      </c>
      <c r="J121" s="30">
        <v>1</v>
      </c>
      <c r="K121" s="30">
        <v>1.1000000000000001</v>
      </c>
    </row>
    <row r="122" spans="1:11" x14ac:dyDescent="0.35">
      <c r="A122" s="17" t="s">
        <v>177</v>
      </c>
      <c r="B122" s="18" t="s">
        <v>180</v>
      </c>
      <c r="C122" s="17" t="s">
        <v>1566</v>
      </c>
      <c r="D122" s="17" t="s">
        <v>1092</v>
      </c>
      <c r="E122" s="17" t="s">
        <v>1102</v>
      </c>
      <c r="F122" s="30">
        <v>1</v>
      </c>
      <c r="G122" s="30">
        <v>1</v>
      </c>
      <c r="H122" s="30">
        <v>1</v>
      </c>
      <c r="I122" s="30">
        <v>1</v>
      </c>
      <c r="J122" s="30">
        <v>1</v>
      </c>
      <c r="K122" s="30">
        <v>1</v>
      </c>
    </row>
    <row r="123" spans="1:11" x14ac:dyDescent="0.35">
      <c r="A123" s="17" t="s">
        <v>177</v>
      </c>
      <c r="B123" s="18" t="s">
        <v>180</v>
      </c>
      <c r="C123" s="17" t="s">
        <v>1567</v>
      </c>
      <c r="D123" s="17" t="s">
        <v>1090</v>
      </c>
      <c r="E123" s="17" t="s">
        <v>1102</v>
      </c>
      <c r="F123" s="30">
        <v>0.8</v>
      </c>
      <c r="G123" s="30">
        <v>0.8</v>
      </c>
      <c r="H123" s="30">
        <v>0.8</v>
      </c>
      <c r="I123" s="30">
        <v>0.8</v>
      </c>
      <c r="J123" s="30">
        <v>0.8</v>
      </c>
      <c r="K123" s="30">
        <v>0.9</v>
      </c>
    </row>
    <row r="124" spans="1:11" x14ac:dyDescent="0.35">
      <c r="A124" s="17" t="s">
        <v>177</v>
      </c>
      <c r="B124" s="18" t="s">
        <v>180</v>
      </c>
      <c r="C124" s="17" t="s">
        <v>1568</v>
      </c>
      <c r="D124" s="17" t="s">
        <v>1534</v>
      </c>
      <c r="E124" s="17" t="s">
        <v>1102</v>
      </c>
      <c r="F124" s="20" t="s">
        <v>202</v>
      </c>
      <c r="G124" s="20" t="s">
        <v>202</v>
      </c>
      <c r="H124" s="20" t="s">
        <v>202</v>
      </c>
      <c r="I124" s="30">
        <v>0.7</v>
      </c>
      <c r="J124" s="30">
        <v>0.8</v>
      </c>
      <c r="K124" s="30">
        <v>0.8</v>
      </c>
    </row>
    <row r="125" spans="1:11" x14ac:dyDescent="0.35">
      <c r="A125" s="17" t="s">
        <v>177</v>
      </c>
      <c r="B125" s="18" t="s">
        <v>180</v>
      </c>
      <c r="C125" s="17" t="s">
        <v>1569</v>
      </c>
      <c r="D125" s="17" t="s">
        <v>1528</v>
      </c>
      <c r="E125" s="17" t="s">
        <v>1102</v>
      </c>
      <c r="F125" s="30">
        <v>1</v>
      </c>
      <c r="G125" s="30">
        <v>0.8</v>
      </c>
      <c r="H125" s="30">
        <v>0.7</v>
      </c>
      <c r="I125" s="30">
        <v>0.5</v>
      </c>
      <c r="J125" s="30">
        <v>0.5</v>
      </c>
      <c r="K125" s="30">
        <v>0.6</v>
      </c>
    </row>
    <row r="126" spans="1:11" x14ac:dyDescent="0.35">
      <c r="A126" s="17" t="s">
        <v>177</v>
      </c>
      <c r="B126" s="18" t="s">
        <v>180</v>
      </c>
      <c r="C126" s="17" t="s">
        <v>1570</v>
      </c>
      <c r="D126" s="17" t="s">
        <v>1501</v>
      </c>
      <c r="E126" s="17" t="s">
        <v>1102</v>
      </c>
      <c r="F126" s="30">
        <v>0</v>
      </c>
      <c r="G126" s="30">
        <v>0.6</v>
      </c>
      <c r="H126" s="30">
        <v>0.4</v>
      </c>
      <c r="I126" s="30">
        <v>0.5</v>
      </c>
      <c r="J126" s="30">
        <v>0.5</v>
      </c>
      <c r="K126" s="30">
        <v>0.5</v>
      </c>
    </row>
    <row r="127" spans="1:11" x14ac:dyDescent="0.35">
      <c r="A127" s="17" t="s">
        <v>177</v>
      </c>
      <c r="B127" s="18" t="s">
        <v>180</v>
      </c>
      <c r="C127" s="17" t="s">
        <v>1571</v>
      </c>
      <c r="D127" s="17" t="s">
        <v>1535</v>
      </c>
      <c r="E127" s="17" t="s">
        <v>1102</v>
      </c>
      <c r="F127" s="30">
        <v>0.8</v>
      </c>
      <c r="G127" s="30">
        <v>0.7</v>
      </c>
      <c r="H127" s="30">
        <v>0.6</v>
      </c>
      <c r="I127" s="30">
        <v>0.5</v>
      </c>
      <c r="J127" s="30">
        <v>0.5</v>
      </c>
      <c r="K127" s="30">
        <v>0.5</v>
      </c>
    </row>
    <row r="128" spans="1:11" x14ac:dyDescent="0.35">
      <c r="A128" s="17" t="s">
        <v>177</v>
      </c>
      <c r="B128" s="18" t="s">
        <v>180</v>
      </c>
      <c r="C128" s="17" t="s">
        <v>1572</v>
      </c>
      <c r="D128" s="17" t="s">
        <v>1536</v>
      </c>
      <c r="E128" s="17" t="s">
        <v>1102</v>
      </c>
      <c r="F128" s="30">
        <v>0.6</v>
      </c>
      <c r="G128" s="30">
        <v>0.6</v>
      </c>
      <c r="H128" s="30">
        <v>0.5</v>
      </c>
      <c r="I128" s="30">
        <v>0.5</v>
      </c>
      <c r="J128" s="30">
        <v>0.5</v>
      </c>
      <c r="K128" s="30">
        <v>0.5</v>
      </c>
    </row>
    <row r="129" spans="1:11" x14ac:dyDescent="0.35">
      <c r="A129" s="17" t="s">
        <v>177</v>
      </c>
      <c r="B129" s="18" t="s">
        <v>180</v>
      </c>
      <c r="C129" s="17" t="s">
        <v>1573</v>
      </c>
      <c r="D129" s="17" t="s">
        <v>1089</v>
      </c>
      <c r="E129" s="17" t="s">
        <v>1102</v>
      </c>
      <c r="F129" s="30">
        <v>0.6</v>
      </c>
      <c r="G129" s="30">
        <v>0.6</v>
      </c>
      <c r="H129" s="30">
        <v>0.5</v>
      </c>
      <c r="I129" s="30">
        <v>0.5</v>
      </c>
      <c r="J129" s="30">
        <v>0.5</v>
      </c>
      <c r="K129" s="30">
        <v>0.5</v>
      </c>
    </row>
    <row r="130" spans="1:11" x14ac:dyDescent="0.35">
      <c r="A130" s="17" t="s">
        <v>177</v>
      </c>
      <c r="B130" s="18" t="s">
        <v>180</v>
      </c>
      <c r="C130" s="17" t="s">
        <v>1574</v>
      </c>
      <c r="D130" s="17" t="s">
        <v>1537</v>
      </c>
      <c r="E130" s="17" t="s">
        <v>1102</v>
      </c>
      <c r="F130" s="30">
        <v>0.4</v>
      </c>
      <c r="G130" s="30">
        <v>0.4</v>
      </c>
      <c r="H130" s="30">
        <v>0.4</v>
      </c>
      <c r="I130" s="30">
        <v>0.4</v>
      </c>
      <c r="J130" s="30">
        <v>0.5</v>
      </c>
      <c r="K130" s="30">
        <v>0.5</v>
      </c>
    </row>
    <row r="131" spans="1:11" x14ac:dyDescent="0.35">
      <c r="A131" s="17" t="s">
        <v>177</v>
      </c>
      <c r="B131" s="18" t="s">
        <v>180</v>
      </c>
      <c r="C131" s="17" t="s">
        <v>1575</v>
      </c>
      <c r="D131" s="17" t="s">
        <v>1089</v>
      </c>
      <c r="E131" s="17" t="s">
        <v>1102</v>
      </c>
      <c r="F131" s="20" t="s">
        <v>202</v>
      </c>
      <c r="G131" s="30">
        <v>0.4</v>
      </c>
      <c r="H131" s="30">
        <v>0.4</v>
      </c>
      <c r="I131" s="30">
        <v>0.4</v>
      </c>
      <c r="J131" s="30">
        <v>0.4</v>
      </c>
      <c r="K131" s="30">
        <v>0.4</v>
      </c>
    </row>
    <row r="132" spans="1:11" x14ac:dyDescent="0.35">
      <c r="A132" s="17" t="s">
        <v>177</v>
      </c>
      <c r="B132" s="18" t="s">
        <v>180</v>
      </c>
      <c r="C132" s="17" t="s">
        <v>1576</v>
      </c>
      <c r="D132" s="17" t="s">
        <v>1538</v>
      </c>
      <c r="E132" s="17" t="s">
        <v>1102</v>
      </c>
      <c r="F132" s="30">
        <v>0.3</v>
      </c>
      <c r="G132" s="30">
        <v>0.3</v>
      </c>
      <c r="H132" s="30">
        <v>0.4</v>
      </c>
      <c r="I132" s="30">
        <v>0.4</v>
      </c>
      <c r="J132" s="30">
        <v>0.4</v>
      </c>
      <c r="K132" s="30">
        <v>0.4</v>
      </c>
    </row>
    <row r="133" spans="1:11" x14ac:dyDescent="0.35">
      <c r="A133" s="17" t="s">
        <v>177</v>
      </c>
      <c r="B133" s="18" t="s">
        <v>180</v>
      </c>
      <c r="C133" s="17" t="s">
        <v>1577</v>
      </c>
      <c r="D133" s="17" t="s">
        <v>1539</v>
      </c>
      <c r="E133" s="17" t="s">
        <v>1102</v>
      </c>
      <c r="F133" s="30">
        <v>0.4</v>
      </c>
      <c r="G133" s="30">
        <v>0.3</v>
      </c>
      <c r="H133" s="30">
        <v>0.3</v>
      </c>
      <c r="I133" s="30">
        <v>0.4</v>
      </c>
      <c r="J133" s="30">
        <v>0.4</v>
      </c>
      <c r="K133" s="30">
        <v>0.4</v>
      </c>
    </row>
    <row r="134" spans="1:11" x14ac:dyDescent="0.35">
      <c r="A134" s="17" t="s">
        <v>177</v>
      </c>
      <c r="B134" s="18" t="s">
        <v>180</v>
      </c>
      <c r="C134" s="17" t="s">
        <v>1578</v>
      </c>
      <c r="D134" s="17" t="s">
        <v>1090</v>
      </c>
      <c r="E134" s="17" t="s">
        <v>1102</v>
      </c>
      <c r="F134" s="30">
        <v>0.2</v>
      </c>
      <c r="G134" s="30">
        <v>0.2</v>
      </c>
      <c r="H134" s="30">
        <v>0.2</v>
      </c>
      <c r="I134" s="30">
        <v>0.2</v>
      </c>
      <c r="J134" s="30">
        <v>0.2</v>
      </c>
      <c r="K134" s="30">
        <v>0.2</v>
      </c>
    </row>
    <row r="135" spans="1:11" x14ac:dyDescent="0.35">
      <c r="A135" s="17" t="s">
        <v>177</v>
      </c>
      <c r="B135" s="18" t="s">
        <v>180</v>
      </c>
      <c r="C135" s="17" t="s">
        <v>1579</v>
      </c>
      <c r="D135" s="17" t="s">
        <v>1540</v>
      </c>
      <c r="E135" s="17" t="s">
        <v>1102</v>
      </c>
      <c r="F135" s="30">
        <v>0.1</v>
      </c>
      <c r="G135" s="30">
        <v>0.1</v>
      </c>
      <c r="H135" s="30">
        <v>0.1</v>
      </c>
      <c r="I135" s="30">
        <v>0.1</v>
      </c>
      <c r="J135" s="30">
        <v>0.1</v>
      </c>
      <c r="K135" s="30">
        <v>0.1</v>
      </c>
    </row>
    <row r="136" spans="1:11" x14ac:dyDescent="0.35">
      <c r="A136" s="17" t="s">
        <v>177</v>
      </c>
      <c r="B136" s="18" t="s">
        <v>180</v>
      </c>
      <c r="C136" s="17" t="s">
        <v>1115</v>
      </c>
      <c r="D136" s="17" t="s">
        <v>1092</v>
      </c>
      <c r="E136" s="17" t="s">
        <v>1102</v>
      </c>
      <c r="F136" s="30">
        <v>0.1</v>
      </c>
      <c r="G136" s="30">
        <v>0.1</v>
      </c>
      <c r="H136" s="30">
        <v>0.1</v>
      </c>
      <c r="I136" s="30">
        <v>0.1</v>
      </c>
      <c r="J136" s="30">
        <v>0.1</v>
      </c>
      <c r="K136" s="30">
        <v>0.1</v>
      </c>
    </row>
    <row r="137" spans="1:11" x14ac:dyDescent="0.35">
      <c r="A137" s="17" t="s">
        <v>177</v>
      </c>
      <c r="B137" s="18" t="s">
        <v>180</v>
      </c>
      <c r="C137" s="17" t="s">
        <v>1580</v>
      </c>
      <c r="D137" s="17" t="s">
        <v>1528</v>
      </c>
      <c r="E137" s="17" t="s">
        <v>1102</v>
      </c>
      <c r="F137" s="30">
        <v>0.2</v>
      </c>
      <c r="G137" s="30">
        <v>0.1</v>
      </c>
      <c r="H137" s="30">
        <v>0.1</v>
      </c>
      <c r="I137" s="30">
        <v>0.1</v>
      </c>
      <c r="J137" s="30">
        <v>0.1</v>
      </c>
      <c r="K137" s="30">
        <v>0.1</v>
      </c>
    </row>
    <row r="138" spans="1:11" x14ac:dyDescent="0.35">
      <c r="A138" s="17" t="s">
        <v>177</v>
      </c>
      <c r="B138" s="18" t="s">
        <v>180</v>
      </c>
      <c r="C138" s="17" t="s">
        <v>1581</v>
      </c>
      <c r="D138" s="17" t="s">
        <v>1541</v>
      </c>
      <c r="E138" s="17" t="s">
        <v>1102</v>
      </c>
      <c r="F138" s="20" t="s">
        <v>202</v>
      </c>
      <c r="G138" s="20" t="s">
        <v>202</v>
      </c>
      <c r="H138" s="20" t="s">
        <v>202</v>
      </c>
      <c r="I138" s="20" t="s">
        <v>202</v>
      </c>
      <c r="J138" s="20" t="s">
        <v>202</v>
      </c>
      <c r="K138" s="20" t="s">
        <v>202</v>
      </c>
    </row>
    <row r="139" spans="1:11" x14ac:dyDescent="0.35">
      <c r="A139" s="17" t="s">
        <v>177</v>
      </c>
      <c r="B139" s="18" t="s">
        <v>180</v>
      </c>
      <c r="C139" s="17" t="s">
        <v>1582</v>
      </c>
      <c r="D139" s="17" t="s">
        <v>1537</v>
      </c>
      <c r="E139" s="17" t="s">
        <v>1102</v>
      </c>
      <c r="F139" s="20" t="s">
        <v>202</v>
      </c>
      <c r="G139" s="20" t="s">
        <v>202</v>
      </c>
      <c r="H139" s="20" t="s">
        <v>202</v>
      </c>
      <c r="I139" s="20" t="s">
        <v>202</v>
      </c>
      <c r="J139" s="20" t="s">
        <v>202</v>
      </c>
      <c r="K139" s="20" t="s">
        <v>202</v>
      </c>
    </row>
    <row r="140" spans="1:11" x14ac:dyDescent="0.35">
      <c r="A140" s="17" t="s">
        <v>177</v>
      </c>
      <c r="B140" s="18" t="s">
        <v>180</v>
      </c>
      <c r="C140" s="17" t="s">
        <v>1583</v>
      </c>
      <c r="D140" s="17" t="s">
        <v>1535</v>
      </c>
      <c r="E140" s="17" t="s">
        <v>1102</v>
      </c>
      <c r="F140" s="20" t="s">
        <v>202</v>
      </c>
      <c r="G140" s="20" t="s">
        <v>202</v>
      </c>
      <c r="H140" s="20" t="s">
        <v>202</v>
      </c>
      <c r="I140" s="20" t="s">
        <v>202</v>
      </c>
      <c r="J140" s="20" t="s">
        <v>202</v>
      </c>
      <c r="K140" s="20" t="s">
        <v>202</v>
      </c>
    </row>
    <row r="141" spans="1:11" x14ac:dyDescent="0.35">
      <c r="A141" s="17" t="s">
        <v>177</v>
      </c>
      <c r="B141" s="18" t="s">
        <v>180</v>
      </c>
      <c r="C141" s="17" t="s">
        <v>1584</v>
      </c>
      <c r="D141" s="17" t="s">
        <v>1534</v>
      </c>
      <c r="E141" s="17" t="s">
        <v>1102</v>
      </c>
      <c r="F141" s="30">
        <v>0.7</v>
      </c>
      <c r="G141" s="30">
        <v>0.7</v>
      </c>
      <c r="H141" s="30">
        <v>0.7</v>
      </c>
      <c r="I141" s="20" t="s">
        <v>202</v>
      </c>
      <c r="J141" s="20" t="s">
        <v>202</v>
      </c>
      <c r="K141" s="20" t="s">
        <v>202</v>
      </c>
    </row>
    <row r="142" spans="1:11" x14ac:dyDescent="0.35">
      <c r="A142" s="17" t="s">
        <v>177</v>
      </c>
      <c r="B142" s="18" t="s">
        <v>180</v>
      </c>
      <c r="C142" s="17" t="s">
        <v>1585</v>
      </c>
      <c r="D142" s="17" t="s">
        <v>1542</v>
      </c>
      <c r="E142" s="17" t="s">
        <v>1102</v>
      </c>
      <c r="F142" s="30">
        <v>0.5</v>
      </c>
      <c r="G142" s="20" t="s">
        <v>202</v>
      </c>
      <c r="H142" s="20" t="s">
        <v>202</v>
      </c>
      <c r="I142" s="20" t="s">
        <v>202</v>
      </c>
      <c r="J142" s="20" t="s">
        <v>202</v>
      </c>
      <c r="K142" s="20" t="s">
        <v>202</v>
      </c>
    </row>
    <row r="143" spans="1:11" x14ac:dyDescent="0.35">
      <c r="A143" s="17" t="s">
        <v>177</v>
      </c>
      <c r="B143" s="18" t="s">
        <v>180</v>
      </c>
      <c r="C143" s="17" t="s">
        <v>130</v>
      </c>
      <c r="D143" s="17" t="s">
        <v>130</v>
      </c>
      <c r="E143" s="17" t="s">
        <v>1102</v>
      </c>
      <c r="F143" s="30">
        <v>10.199999999999999</v>
      </c>
      <c r="G143" s="30">
        <v>10.5</v>
      </c>
      <c r="H143" s="30">
        <v>10.8</v>
      </c>
      <c r="I143" s="30">
        <v>11.2</v>
      </c>
      <c r="J143" s="30">
        <v>11.1</v>
      </c>
      <c r="K143" s="30">
        <v>10.9</v>
      </c>
    </row>
    <row r="144" spans="1:11" x14ac:dyDescent="0.35">
      <c r="A144" s="17" t="s">
        <v>177</v>
      </c>
      <c r="B144" s="18" t="s">
        <v>180</v>
      </c>
      <c r="C144" s="17" t="s">
        <v>31</v>
      </c>
      <c r="D144" s="17" t="s">
        <v>31</v>
      </c>
      <c r="E144" s="17" t="s">
        <v>1102</v>
      </c>
      <c r="F144" s="30">
        <v>100</v>
      </c>
      <c r="G144" s="30">
        <v>100</v>
      </c>
      <c r="H144" s="30">
        <v>100</v>
      </c>
      <c r="I144" s="30">
        <v>100</v>
      </c>
      <c r="J144" s="30">
        <v>100</v>
      </c>
      <c r="K144" s="30">
        <v>100</v>
      </c>
    </row>
    <row r="145" spans="1:12" x14ac:dyDescent="0.35">
      <c r="F145">
        <f t="shared" ref="F145:K145" si="16">SUM(F113:F131)*F28/100</f>
        <v>17711.197805699998</v>
      </c>
      <c r="G145">
        <f t="shared" si="16"/>
        <v>21062.649408000001</v>
      </c>
      <c r="H145">
        <f t="shared" si="16"/>
        <v>22809.0389856</v>
      </c>
      <c r="I145">
        <f t="shared" si="16"/>
        <v>23975.877974999999</v>
      </c>
      <c r="J145">
        <f t="shared" si="16"/>
        <v>23937.298132799999</v>
      </c>
      <c r="K145">
        <f t="shared" si="16"/>
        <v>24614.087097600001</v>
      </c>
    </row>
    <row r="146" spans="1:12" x14ac:dyDescent="0.35">
      <c r="A146" s="33" t="s">
        <v>1093</v>
      </c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 spans="1:12" x14ac:dyDescent="0.35">
      <c r="A147" s="28" t="s">
        <v>1094</v>
      </c>
      <c r="B147" s="27"/>
      <c r="C147" s="27"/>
      <c r="D147" s="27"/>
      <c r="E147" s="27"/>
      <c r="F147" s="27">
        <v>2018</v>
      </c>
      <c r="G147" s="27">
        <v>2019</v>
      </c>
      <c r="H147" s="27">
        <v>2020</v>
      </c>
      <c r="I147" s="27">
        <v>2021</v>
      </c>
      <c r="J147" s="27">
        <v>2022</v>
      </c>
      <c r="K147" s="27"/>
      <c r="L147" s="84">
        <f>(J148-F148)/F148</f>
        <v>0.35117808582041332</v>
      </c>
    </row>
    <row r="148" spans="1:12" x14ac:dyDescent="0.35">
      <c r="D148" s="554" t="str">
        <f>D131</f>
        <v>Vietnam Dairy Products JSC (Vinamilk)</v>
      </c>
      <c r="E148" s="17" t="s">
        <v>1512</v>
      </c>
      <c r="F148">
        <f>F113*$F$26/100</f>
        <v>17152.769899999999</v>
      </c>
      <c r="G148">
        <f>G113*G26/100</f>
        <v>20414.198400000001</v>
      </c>
      <c r="H148">
        <f>H113*H26/100</f>
        <v>22257.9516</v>
      </c>
      <c r="I148">
        <f>I113*I26/100</f>
        <v>23282.272200000003</v>
      </c>
      <c r="J148">
        <f>J113*J26/100</f>
        <v>23176.446800000002</v>
      </c>
      <c r="K148">
        <f>K113*K28/100</f>
        <v>10668.904646400002</v>
      </c>
      <c r="L148" s="84">
        <f>(J149-F149)/F149</f>
        <v>0.10294374865562303</v>
      </c>
    </row>
    <row r="149" spans="1:12" x14ac:dyDescent="0.35">
      <c r="A149" s="28" t="s">
        <v>1586</v>
      </c>
      <c r="B149" s="27"/>
      <c r="C149" s="27"/>
      <c r="D149" s="554"/>
      <c r="E149" s="17" t="s">
        <v>1587</v>
      </c>
      <c r="F149">
        <f>F129*$F$26/100</f>
        <v>268.71179999999998</v>
      </c>
      <c r="G149">
        <f>G129*G26/100</f>
        <v>300.2088</v>
      </c>
      <c r="H149">
        <f>H129*H26/100</f>
        <v>270.77800000000002</v>
      </c>
      <c r="I149">
        <f>I129*I26/100</f>
        <v>286.02299999999997</v>
      </c>
      <c r="J149">
        <f>J129*J26/100</f>
        <v>296.37400000000002</v>
      </c>
      <c r="K149" s="27"/>
      <c r="L149" s="84" t="e">
        <f>(J150-F150)/F150</f>
        <v>#VALUE!</v>
      </c>
    </row>
    <row r="150" spans="1:12" x14ac:dyDescent="0.35">
      <c r="A150" s="28" t="s">
        <v>1096</v>
      </c>
      <c r="B150" s="27"/>
      <c r="C150" s="27"/>
      <c r="D150" s="554"/>
      <c r="E150" s="17" t="s">
        <v>1588</v>
      </c>
      <c r="F150" t="s">
        <v>202</v>
      </c>
      <c r="G150">
        <f>G131*G26/100</f>
        <v>200.13920000000002</v>
      </c>
      <c r="H150">
        <f>H131*H26/100</f>
        <v>216.62240000000003</v>
      </c>
      <c r="I150">
        <f>I131*I26/100</f>
        <v>228.8184</v>
      </c>
      <c r="J150">
        <f>J131*J26/100</f>
        <v>237.09920000000002</v>
      </c>
      <c r="K150" s="27"/>
    </row>
    <row r="151" spans="1:12" x14ac:dyDescent="0.35">
      <c r="D151" s="554" t="str">
        <f>D126</f>
        <v>TH Food Chain JSC</v>
      </c>
      <c r="E151" s="17" t="s">
        <v>1589</v>
      </c>
      <c r="F151">
        <f>F114*$F$26/100</f>
        <v>4971.1683000000003</v>
      </c>
      <c r="G151">
        <f>G114*G26/100</f>
        <v>6154.2804000000006</v>
      </c>
      <c r="H151">
        <f>H114*H26/100</f>
        <v>6986.0724</v>
      </c>
      <c r="I151">
        <f>I114*I26/100</f>
        <v>7608.2118000000009</v>
      </c>
      <c r="J151">
        <f>J114*J26/100</f>
        <v>8002.0980000000009</v>
      </c>
    </row>
    <row r="152" spans="1:12" x14ac:dyDescent="0.35">
      <c r="D152" s="554"/>
      <c r="E152" s="17" t="s">
        <v>1590</v>
      </c>
      <c r="F152">
        <f>F121*$F$26/100</f>
        <v>447.85300000000001</v>
      </c>
      <c r="G152">
        <f>G121*G26/100</f>
        <v>500.34800000000001</v>
      </c>
      <c r="H152">
        <f>H121*H26/100</f>
        <v>541.55600000000004</v>
      </c>
      <c r="I152">
        <f>I121*I26/100</f>
        <v>572.04599999999994</v>
      </c>
      <c r="J152">
        <f>J121*J26/100</f>
        <v>592.74800000000005</v>
      </c>
    </row>
    <row r="153" spans="1:12" x14ac:dyDescent="0.35">
      <c r="D153" s="554"/>
      <c r="E153" s="17" t="s">
        <v>1591</v>
      </c>
      <c r="F153">
        <f>F126*F26/100</f>
        <v>0</v>
      </c>
      <c r="G153">
        <f>G126*G26/100</f>
        <v>300.2088</v>
      </c>
      <c r="H153">
        <f>H126*H26/100</f>
        <v>216.62240000000003</v>
      </c>
      <c r="I153">
        <f>I126*I26/100</f>
        <v>286.02299999999997</v>
      </c>
      <c r="J153">
        <f>J126*J26/100</f>
        <v>296.37400000000002</v>
      </c>
    </row>
    <row r="156" spans="1:12" x14ac:dyDescent="0.35">
      <c r="F156">
        <f>SUM(F148:F150)</f>
        <v>17421.4817</v>
      </c>
      <c r="G156">
        <f t="shared" ref="G156:J156" si="17">SUM(G148:G150)</f>
        <v>20914.546400000003</v>
      </c>
      <c r="H156">
        <f t="shared" si="17"/>
        <v>22745.351999999999</v>
      </c>
      <c r="I156">
        <f t="shared" si="17"/>
        <v>23797.113600000004</v>
      </c>
      <c r="J156">
        <f t="shared" si="17"/>
        <v>23709.920000000002</v>
      </c>
    </row>
    <row r="157" spans="1:12" x14ac:dyDescent="0.35">
      <c r="F157">
        <f>SUM(F151:F153)</f>
        <v>5419.0213000000003</v>
      </c>
      <c r="G157">
        <f t="shared" ref="G157:J157" si="18">SUM(G151:G153)</f>
        <v>6954.8372000000008</v>
      </c>
      <c r="H157">
        <f t="shared" si="18"/>
        <v>7744.2507999999998</v>
      </c>
      <c r="I157">
        <f t="shared" si="18"/>
        <v>8466.2808000000005</v>
      </c>
      <c r="J157">
        <f t="shared" si="18"/>
        <v>8891.2200000000012</v>
      </c>
    </row>
    <row r="160" spans="1:12" x14ac:dyDescent="0.35">
      <c r="E160">
        <f>(J148-F148)/F148</f>
        <v>0.35117808582041332</v>
      </c>
      <c r="F160">
        <f>(J156-F156)/F156</f>
        <v>0.36095886723573012</v>
      </c>
    </row>
    <row r="161" spans="6:6" x14ac:dyDescent="0.35">
      <c r="F161">
        <f>(J157-F157)/F157</f>
        <v>0.64074276659514151</v>
      </c>
    </row>
    <row r="181" spans="1:17" x14ac:dyDescent="0.35">
      <c r="B181">
        <v>2018</v>
      </c>
      <c r="C181">
        <v>2019</v>
      </c>
      <c r="D181">
        <v>2020</v>
      </c>
      <c r="E181">
        <v>2021</v>
      </c>
      <c r="F181">
        <v>2022</v>
      </c>
    </row>
    <row r="182" spans="1:17" x14ac:dyDescent="0.35">
      <c r="A182" t="s">
        <v>1508</v>
      </c>
      <c r="B182">
        <v>20287.740900000001</v>
      </c>
      <c r="C182">
        <v>24016.704000000005</v>
      </c>
      <c r="D182">
        <v>26157.1548</v>
      </c>
      <c r="E182">
        <v>27401.003399999998</v>
      </c>
      <c r="F182">
        <v>27325.682800000002</v>
      </c>
    </row>
    <row r="183" spans="1:17" x14ac:dyDescent="0.35">
      <c r="L183">
        <f>1-M183</f>
        <v>0.7142857142857143</v>
      </c>
      <c r="M183">
        <f>40/140</f>
        <v>0.2857142857142857</v>
      </c>
    </row>
    <row r="185" spans="1:17" x14ac:dyDescent="0.35">
      <c r="N185" t="s">
        <v>1592</v>
      </c>
      <c r="O185" t="s">
        <v>1593</v>
      </c>
    </row>
    <row r="187" spans="1:17" x14ac:dyDescent="0.35">
      <c r="M187">
        <v>2018</v>
      </c>
      <c r="N187">
        <v>2019</v>
      </c>
      <c r="O187">
        <v>2020</v>
      </c>
      <c r="P187">
        <v>2021</v>
      </c>
      <c r="Q187">
        <v>2022</v>
      </c>
    </row>
    <row r="188" spans="1:17" x14ac:dyDescent="0.35">
      <c r="M188">
        <v>26.2</v>
      </c>
      <c r="N188">
        <v>27.2</v>
      </c>
      <c r="O188">
        <v>27.5</v>
      </c>
      <c r="P188">
        <v>27.8</v>
      </c>
      <c r="Q188">
        <v>28</v>
      </c>
    </row>
    <row r="193" spans="15:19" x14ac:dyDescent="0.35">
      <c r="S193" t="s">
        <v>23</v>
      </c>
    </row>
    <row r="197" spans="15:19" x14ac:dyDescent="0.35">
      <c r="S197">
        <f>(28-26.2)/26.2</f>
        <v>6.8702290076335909E-2</v>
      </c>
    </row>
    <row r="198" spans="15:19" x14ac:dyDescent="0.35">
      <c r="S198" t="s">
        <v>23</v>
      </c>
    </row>
    <row r="208" spans="15:19" x14ac:dyDescent="0.35">
      <c r="O208">
        <v>2019</v>
      </c>
      <c r="P208">
        <v>2020</v>
      </c>
      <c r="Q208">
        <v>2021</v>
      </c>
      <c r="R208">
        <v>2022</v>
      </c>
    </row>
    <row r="209" spans="5:18" x14ac:dyDescent="0.35">
      <c r="E209" t="s">
        <v>1508</v>
      </c>
      <c r="F209">
        <v>20287.740900000001</v>
      </c>
      <c r="G209">
        <v>24016.704000000005</v>
      </c>
      <c r="H209">
        <v>26157.1548</v>
      </c>
      <c r="I209">
        <v>27401.003399999998</v>
      </c>
      <c r="J209">
        <v>27325.682800000002</v>
      </c>
      <c r="N209" t="s">
        <v>205</v>
      </c>
      <c r="O209">
        <v>27</v>
      </c>
      <c r="P209">
        <v>29</v>
      </c>
      <c r="Q209">
        <v>30</v>
      </c>
      <c r="R209">
        <v>32</v>
      </c>
    </row>
    <row r="210" spans="5:18" x14ac:dyDescent="0.35">
      <c r="E210" t="s">
        <v>1594</v>
      </c>
      <c r="F210">
        <v>44785.3</v>
      </c>
      <c r="G210">
        <v>50034.8</v>
      </c>
      <c r="H210">
        <v>54155.6</v>
      </c>
      <c r="I210">
        <v>57204.6</v>
      </c>
      <c r="J210">
        <v>59274.8</v>
      </c>
      <c r="N210" t="s">
        <v>1595</v>
      </c>
      <c r="O210">
        <v>92</v>
      </c>
      <c r="P210">
        <v>93</v>
      </c>
      <c r="Q210">
        <v>93</v>
      </c>
      <c r="R210">
        <v>94.3</v>
      </c>
    </row>
    <row r="211" spans="5:18" x14ac:dyDescent="0.35">
      <c r="N211" t="s">
        <v>1596</v>
      </c>
      <c r="O211">
        <v>27.2</v>
      </c>
      <c r="P211">
        <v>27.5</v>
      </c>
      <c r="Q211">
        <v>27.8</v>
      </c>
      <c r="R211">
        <v>28</v>
      </c>
    </row>
    <row r="215" spans="5:18" x14ac:dyDescent="0.35">
      <c r="E215" t="s">
        <v>1508</v>
      </c>
      <c r="F215" t="s">
        <v>1594</v>
      </c>
    </row>
    <row r="216" spans="5:18" x14ac:dyDescent="0.35">
      <c r="E216">
        <v>20287.740900000001</v>
      </c>
      <c r="F216">
        <v>44785.3</v>
      </c>
    </row>
    <row r="217" spans="5:18" x14ac:dyDescent="0.35">
      <c r="E217">
        <v>24016.704000000005</v>
      </c>
      <c r="F217">
        <v>50034.8</v>
      </c>
    </row>
    <row r="218" spans="5:18" x14ac:dyDescent="0.35">
      <c r="E218">
        <v>26157.1548</v>
      </c>
      <c r="F218">
        <v>54155.6</v>
      </c>
    </row>
    <row r="219" spans="5:18" x14ac:dyDescent="0.35">
      <c r="E219">
        <v>27401.003399999998</v>
      </c>
      <c r="F219">
        <v>57204.6</v>
      </c>
    </row>
    <row r="220" spans="5:18" x14ac:dyDescent="0.35">
      <c r="E220">
        <v>27325.682800000002</v>
      </c>
      <c r="F220">
        <v>59274.8</v>
      </c>
    </row>
    <row r="224" spans="5:18" x14ac:dyDescent="0.35">
      <c r="E224" t="s">
        <v>215</v>
      </c>
    </row>
    <row r="225" spans="5:13" ht="15" thickBot="1" x14ac:dyDescent="0.4"/>
    <row r="226" spans="5:13" x14ac:dyDescent="0.35">
      <c r="E226" s="434" t="s">
        <v>218</v>
      </c>
      <c r="F226" s="434"/>
    </row>
    <row r="227" spans="5:13" x14ac:dyDescent="0.35">
      <c r="E227" t="s">
        <v>220</v>
      </c>
      <c r="F227">
        <v>0.97591517681383921</v>
      </c>
    </row>
    <row r="228" spans="5:13" x14ac:dyDescent="0.35">
      <c r="E228" t="s">
        <v>222</v>
      </c>
      <c r="F228">
        <v>0.95241043233558709</v>
      </c>
    </row>
    <row r="229" spans="5:13" x14ac:dyDescent="0.35">
      <c r="E229" t="s">
        <v>224</v>
      </c>
      <c r="F229">
        <v>0.93654724311411608</v>
      </c>
    </row>
    <row r="230" spans="5:13" x14ac:dyDescent="0.35">
      <c r="E230" t="s">
        <v>226</v>
      </c>
      <c r="F230">
        <v>752.30549565658134</v>
      </c>
    </row>
    <row r="231" spans="5:13" ht="15" thickBot="1" x14ac:dyDescent="0.4">
      <c r="E231" s="433" t="s">
        <v>227</v>
      </c>
      <c r="F231" s="433">
        <v>5</v>
      </c>
    </row>
    <row r="233" spans="5:13" ht="15" thickBot="1" x14ac:dyDescent="0.4">
      <c r="E233" t="s">
        <v>228</v>
      </c>
    </row>
    <row r="234" spans="5:13" x14ac:dyDescent="0.35">
      <c r="E234" s="434"/>
      <c r="F234" s="434" t="s">
        <v>229</v>
      </c>
      <c r="G234" s="434" t="s">
        <v>230</v>
      </c>
      <c r="H234" s="434" t="s">
        <v>231</v>
      </c>
      <c r="I234" s="434" t="s">
        <v>232</v>
      </c>
      <c r="J234" s="434" t="s">
        <v>233</v>
      </c>
    </row>
    <row r="235" spans="5:13" x14ac:dyDescent="0.35">
      <c r="E235" t="s">
        <v>234</v>
      </c>
      <c r="F235">
        <v>1</v>
      </c>
      <c r="G235">
        <v>33979900.900926188</v>
      </c>
      <c r="H235">
        <v>33979900.900926188</v>
      </c>
      <c r="I235">
        <v>60.039026140247515</v>
      </c>
      <c r="J235">
        <v>4.4706824358889683E-3</v>
      </c>
    </row>
    <row r="236" spans="5:13" x14ac:dyDescent="0.35">
      <c r="E236" t="s">
        <v>236</v>
      </c>
      <c r="F236">
        <v>3</v>
      </c>
      <c r="G236">
        <v>1697890.6763852835</v>
      </c>
      <c r="H236">
        <v>565963.55879509449</v>
      </c>
    </row>
    <row r="237" spans="5:13" ht="15" thickBot="1" x14ac:dyDescent="0.4">
      <c r="E237" s="433" t="s">
        <v>31</v>
      </c>
      <c r="F237" s="433">
        <v>4</v>
      </c>
      <c r="G237" s="433">
        <v>35677791.577311471</v>
      </c>
      <c r="H237" s="433"/>
      <c r="I237" s="433"/>
      <c r="J237" s="433"/>
    </row>
    <row r="238" spans="5:13" ht="15" thickBot="1" x14ac:dyDescent="0.4"/>
    <row r="239" spans="5:13" x14ac:dyDescent="0.35">
      <c r="E239" s="434"/>
      <c r="F239" s="434" t="s">
        <v>237</v>
      </c>
      <c r="G239" s="434" t="s">
        <v>226</v>
      </c>
      <c r="H239" s="434" t="s">
        <v>238</v>
      </c>
      <c r="I239" s="434" t="s">
        <v>239</v>
      </c>
      <c r="J239" s="434" t="s">
        <v>240</v>
      </c>
      <c r="K239" s="434" t="s">
        <v>241</v>
      </c>
      <c r="L239" s="434" t="s">
        <v>242</v>
      </c>
      <c r="M239" s="434" t="s">
        <v>243</v>
      </c>
    </row>
    <row r="240" spans="5:13" x14ac:dyDescent="0.35">
      <c r="E240" t="s">
        <v>244</v>
      </c>
      <c r="F240">
        <v>-1635.7308315972004</v>
      </c>
      <c r="G240">
        <v>3458.8021199575414</v>
      </c>
      <c r="H240">
        <v>-0.47291830375577537</v>
      </c>
      <c r="I240">
        <v>0.6685508425364608</v>
      </c>
      <c r="J240">
        <v>-12643.182858963539</v>
      </c>
      <c r="K240">
        <v>9371.7211957691379</v>
      </c>
      <c r="L240">
        <v>-12643.182858963539</v>
      </c>
      <c r="M240">
        <v>9371.7211957691379</v>
      </c>
    </row>
    <row r="241" spans="5:13" ht="15" thickBot="1" x14ac:dyDescent="0.4">
      <c r="E241" s="433" t="s">
        <v>1594</v>
      </c>
      <c r="F241" s="433">
        <v>0.50240865614556285</v>
      </c>
      <c r="G241" s="433">
        <v>6.4839595043144266E-2</v>
      </c>
      <c r="H241" s="433">
        <v>7.7484854094363191</v>
      </c>
      <c r="I241" s="433">
        <v>4.4706824358889683E-3</v>
      </c>
      <c r="J241" s="433">
        <v>0.29606012646441648</v>
      </c>
      <c r="K241" s="433">
        <v>0.70875718582670921</v>
      </c>
      <c r="L241" s="433">
        <v>0.29606012646441648</v>
      </c>
      <c r="M241" s="433">
        <v>0.70875718582670921</v>
      </c>
    </row>
  </sheetData>
  <autoFilter ref="A112:K150" xr:uid="{5ED039F9-E044-45F2-AF76-CE10A591BC27}"/>
  <mergeCells count="3">
    <mergeCell ref="R62:R68"/>
    <mergeCell ref="D148:D150"/>
    <mergeCell ref="D151:D15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DD40-8177-4E66-A4A2-625F9AAD54B2}">
  <sheetPr filterMode="1"/>
  <dimension ref="A1:V144"/>
  <sheetViews>
    <sheetView topLeftCell="F1" zoomScale="70" zoomScaleNormal="70" workbookViewId="0">
      <selection activeCell="T134" sqref="T134"/>
    </sheetView>
  </sheetViews>
  <sheetFormatPr defaultRowHeight="14.5" x14ac:dyDescent="0.35"/>
  <cols>
    <col min="1" max="1" width="28.54296875" customWidth="1"/>
    <col min="2" max="2" width="17.7265625" customWidth="1"/>
    <col min="3" max="3" width="46.26953125" customWidth="1"/>
    <col min="4" max="4" width="25" customWidth="1"/>
    <col min="5" max="5" width="14.54296875" customWidth="1"/>
    <col min="6" max="6" width="47.26953125" bestFit="1" customWidth="1"/>
    <col min="7" max="7" width="36.1796875" bestFit="1" customWidth="1"/>
    <col min="8" max="8" width="16.54296875" customWidth="1"/>
    <col min="9" max="11" width="9.453125" bestFit="1" customWidth="1"/>
    <col min="12" max="12" width="34.26953125" bestFit="1" customWidth="1"/>
    <col min="13" max="13" width="9.453125" bestFit="1" customWidth="1"/>
    <col min="14" max="14" width="24.453125" customWidth="1"/>
    <col min="17" max="17" width="12.1796875" bestFit="1" customWidth="1"/>
    <col min="20" max="20" width="37" bestFit="1" customWidth="1"/>
  </cols>
  <sheetData>
    <row r="1" spans="1:21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21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2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2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L4" s="459" t="s">
        <v>1536</v>
      </c>
      <c r="M4" s="34">
        <v>18.2</v>
      </c>
      <c r="N4" s="34">
        <v>19</v>
      </c>
      <c r="O4" s="34">
        <v>19.899999999999999</v>
      </c>
      <c r="P4" s="34">
        <v>21.1</v>
      </c>
      <c r="Q4" s="34">
        <v>22.4</v>
      </c>
      <c r="R4" s="34">
        <v>23.2</v>
      </c>
    </row>
    <row r="5" spans="1:21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21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  <c r="L6" s="1" t="s">
        <v>1082</v>
      </c>
      <c r="M6" s="1" t="s">
        <v>1083</v>
      </c>
      <c r="N6" s="1" t="s">
        <v>1084</v>
      </c>
      <c r="O6" s="1" t="s">
        <v>1085</v>
      </c>
      <c r="P6" s="1" t="s">
        <v>1086</v>
      </c>
      <c r="Q6" s="1" t="s">
        <v>1087</v>
      </c>
      <c r="R6" s="1" t="s">
        <v>1088</v>
      </c>
      <c r="T6" s="1" t="s">
        <v>1082</v>
      </c>
      <c r="U6" s="1" t="s">
        <v>1088</v>
      </c>
    </row>
    <row r="7" spans="1:21" x14ac:dyDescent="0.35">
      <c r="A7" s="17" t="s">
        <v>177</v>
      </c>
      <c r="B7" s="29" t="s">
        <v>179</v>
      </c>
      <c r="C7" s="17" t="s">
        <v>1536</v>
      </c>
      <c r="D7" s="17" t="s">
        <v>1102</v>
      </c>
      <c r="E7" s="30">
        <v>18.2</v>
      </c>
      <c r="F7" s="30">
        <v>19</v>
      </c>
      <c r="G7" s="30">
        <v>19.899999999999999</v>
      </c>
      <c r="H7" s="30">
        <v>21.1</v>
      </c>
      <c r="I7" s="30">
        <v>22.4</v>
      </c>
      <c r="J7" s="30">
        <v>23.2</v>
      </c>
      <c r="L7" s="460" t="s">
        <v>205</v>
      </c>
      <c r="M7" s="36">
        <v>24.5</v>
      </c>
      <c r="N7" s="36">
        <v>24.4</v>
      </c>
      <c r="O7" s="36">
        <v>23.2</v>
      </c>
      <c r="P7" s="36">
        <v>21.5</v>
      </c>
      <c r="Q7" s="36">
        <v>19.899999999999999</v>
      </c>
      <c r="R7" s="36">
        <v>20</v>
      </c>
      <c r="T7" s="22" t="s">
        <v>1536</v>
      </c>
      <c r="U7" s="34">
        <v>23.2</v>
      </c>
    </row>
    <row r="8" spans="1:21" x14ac:dyDescent="0.35">
      <c r="A8" s="26" t="s">
        <v>177</v>
      </c>
      <c r="B8" s="24" t="s">
        <v>179</v>
      </c>
      <c r="C8" s="26" t="s">
        <v>1089</v>
      </c>
      <c r="D8" s="26" t="s">
        <v>1102</v>
      </c>
      <c r="E8" s="25">
        <v>24.5</v>
      </c>
      <c r="F8" s="25">
        <v>24.4</v>
      </c>
      <c r="G8" s="25">
        <v>23.2</v>
      </c>
      <c r="H8" s="25">
        <v>21.5</v>
      </c>
      <c r="I8" s="25">
        <v>19.899999999999999</v>
      </c>
      <c r="J8" s="25">
        <v>20</v>
      </c>
      <c r="L8" s="459" t="s">
        <v>1597</v>
      </c>
      <c r="M8" s="34">
        <v>18.2</v>
      </c>
      <c r="N8" s="34">
        <v>19</v>
      </c>
      <c r="O8" s="34">
        <v>19.899999999999999</v>
      </c>
      <c r="P8" s="34">
        <v>21.1</v>
      </c>
      <c r="Q8" s="34">
        <v>22.4</v>
      </c>
      <c r="R8" s="34">
        <v>23.2</v>
      </c>
      <c r="T8" s="35" t="s">
        <v>1089</v>
      </c>
      <c r="U8" s="36">
        <v>20</v>
      </c>
    </row>
    <row r="9" spans="1:21" x14ac:dyDescent="0.35">
      <c r="A9" s="17" t="s">
        <v>177</v>
      </c>
      <c r="B9" s="29" t="s">
        <v>179</v>
      </c>
      <c r="C9" s="17" t="s">
        <v>1091</v>
      </c>
      <c r="D9" s="17" t="s">
        <v>1102</v>
      </c>
      <c r="E9" s="30">
        <v>11.2</v>
      </c>
      <c r="F9" s="30">
        <v>11.9</v>
      </c>
      <c r="G9" s="30">
        <v>12.1</v>
      </c>
      <c r="H9" s="30">
        <v>12.6</v>
      </c>
      <c r="I9" s="30">
        <v>13.7</v>
      </c>
      <c r="J9" s="30">
        <v>14.4</v>
      </c>
      <c r="L9" s="22" t="s">
        <v>1543</v>
      </c>
      <c r="M9" s="34">
        <v>11.2</v>
      </c>
      <c r="N9" s="34">
        <v>11.9</v>
      </c>
      <c r="O9" s="34">
        <v>12.1</v>
      </c>
      <c r="P9" s="34">
        <v>12.6</v>
      </c>
      <c r="Q9" s="34">
        <v>13.7</v>
      </c>
      <c r="R9" s="34">
        <v>14.4</v>
      </c>
      <c r="T9" s="22" t="s">
        <v>1091</v>
      </c>
      <c r="U9" s="34">
        <v>14.4</v>
      </c>
    </row>
    <row r="10" spans="1:21" x14ac:dyDescent="0.35">
      <c r="A10" s="17" t="s">
        <v>177</v>
      </c>
      <c r="B10" s="29" t="s">
        <v>179</v>
      </c>
      <c r="C10" s="17" t="s">
        <v>1535</v>
      </c>
      <c r="D10" s="17" t="s">
        <v>1102</v>
      </c>
      <c r="E10" s="30">
        <v>10.6</v>
      </c>
      <c r="F10" s="30">
        <v>10.7</v>
      </c>
      <c r="G10" s="30">
        <v>11</v>
      </c>
      <c r="H10" s="30">
        <v>11.4</v>
      </c>
      <c r="I10" s="30">
        <v>11.9</v>
      </c>
      <c r="J10" s="30">
        <v>12.1</v>
      </c>
      <c r="L10" s="22" t="s">
        <v>1598</v>
      </c>
      <c r="M10" s="34">
        <v>10.6</v>
      </c>
      <c r="N10" s="34">
        <v>10.7</v>
      </c>
      <c r="O10" s="34">
        <v>11</v>
      </c>
      <c r="P10" s="34">
        <v>11.4</v>
      </c>
      <c r="Q10" s="34">
        <v>11.9</v>
      </c>
      <c r="R10" s="34">
        <v>12.1</v>
      </c>
      <c r="T10" s="22" t="s">
        <v>1535</v>
      </c>
      <c r="U10" s="34">
        <v>12.1</v>
      </c>
    </row>
    <row r="11" spans="1:21" x14ac:dyDescent="0.35">
      <c r="A11" s="17" t="s">
        <v>177</v>
      </c>
      <c r="B11" s="29" t="s">
        <v>179</v>
      </c>
      <c r="C11" s="17" t="s">
        <v>1090</v>
      </c>
      <c r="D11" s="17" t="s">
        <v>1102</v>
      </c>
      <c r="E11" s="30">
        <v>11.9</v>
      </c>
      <c r="F11" s="30">
        <v>12</v>
      </c>
      <c r="G11" s="30">
        <v>11.7</v>
      </c>
      <c r="H11" s="30">
        <v>11.5</v>
      </c>
      <c r="I11" s="30">
        <v>11.3</v>
      </c>
      <c r="J11" s="30">
        <v>10.8</v>
      </c>
      <c r="L11" s="22" t="s">
        <v>1499</v>
      </c>
      <c r="M11" s="34">
        <v>11.9</v>
      </c>
      <c r="N11" s="34">
        <v>12</v>
      </c>
      <c r="O11" s="34">
        <v>11.7</v>
      </c>
      <c r="P11" s="34">
        <v>11.5</v>
      </c>
      <c r="Q11" s="34">
        <v>11.3</v>
      </c>
      <c r="R11" s="34">
        <v>10.8</v>
      </c>
      <c r="T11" s="22" t="s">
        <v>1090</v>
      </c>
      <c r="U11" s="34">
        <v>10.8</v>
      </c>
    </row>
    <row r="12" spans="1:21" x14ac:dyDescent="0.35">
      <c r="A12" s="17" t="s">
        <v>177</v>
      </c>
      <c r="B12" s="29" t="s">
        <v>179</v>
      </c>
      <c r="C12" s="17" t="s">
        <v>1092</v>
      </c>
      <c r="D12" s="17" t="s">
        <v>1102</v>
      </c>
      <c r="E12" s="30">
        <v>14.6</v>
      </c>
      <c r="F12" s="30">
        <v>12.8</v>
      </c>
      <c r="G12" s="30">
        <v>12</v>
      </c>
      <c r="H12" s="30">
        <v>10.8</v>
      </c>
      <c r="I12" s="30">
        <v>8.6</v>
      </c>
      <c r="J12" s="30">
        <v>6.6</v>
      </c>
      <c r="L12" s="22" t="s">
        <v>1505</v>
      </c>
      <c r="M12" s="34">
        <v>14.6</v>
      </c>
      <c r="N12" s="34">
        <v>12.8</v>
      </c>
      <c r="O12" s="34">
        <v>12</v>
      </c>
      <c r="P12" s="34">
        <v>10.8</v>
      </c>
      <c r="Q12" s="34">
        <v>8.6</v>
      </c>
      <c r="R12" s="34">
        <v>6.6</v>
      </c>
      <c r="T12" s="22" t="s">
        <v>1092</v>
      </c>
      <c r="U12" s="34">
        <v>6.6</v>
      </c>
    </row>
    <row r="13" spans="1:21" x14ac:dyDescent="0.35">
      <c r="A13" s="17" t="s">
        <v>177</v>
      </c>
      <c r="B13" s="29" t="s">
        <v>179</v>
      </c>
      <c r="C13" s="17" t="s">
        <v>1599</v>
      </c>
      <c r="D13" s="17" t="s">
        <v>1102</v>
      </c>
      <c r="E13" s="30">
        <v>1.6</v>
      </c>
      <c r="F13" s="30">
        <v>1.7</v>
      </c>
      <c r="G13" s="30">
        <v>1.9</v>
      </c>
      <c r="H13" s="30">
        <v>2</v>
      </c>
      <c r="I13" s="30">
        <v>2.1</v>
      </c>
      <c r="J13" s="30">
        <v>2.2000000000000002</v>
      </c>
      <c r="L13" s="22" t="s">
        <v>130</v>
      </c>
      <c r="M13" s="34">
        <f>SUM(M14:M20)</f>
        <v>8.8999999999999986</v>
      </c>
      <c r="N13" s="34">
        <f t="shared" ref="N13:R13" si="0">SUM(N14:N20)</f>
        <v>9.1999999999999993</v>
      </c>
      <c r="O13" s="34">
        <f t="shared" si="0"/>
        <v>10.3</v>
      </c>
      <c r="P13" s="34">
        <f t="shared" si="0"/>
        <v>11.1</v>
      </c>
      <c r="Q13" s="34">
        <f t="shared" si="0"/>
        <v>12.1</v>
      </c>
      <c r="R13" s="34">
        <f t="shared" si="0"/>
        <v>13</v>
      </c>
      <c r="T13" s="22" t="s">
        <v>130</v>
      </c>
      <c r="U13" s="34">
        <f>R13</f>
        <v>13</v>
      </c>
    </row>
    <row r="14" spans="1:21" x14ac:dyDescent="0.35">
      <c r="A14" s="17" t="s">
        <v>177</v>
      </c>
      <c r="B14" s="29" t="s">
        <v>179</v>
      </c>
      <c r="C14" s="17" t="s">
        <v>1600</v>
      </c>
      <c r="D14" s="17" t="s">
        <v>1102</v>
      </c>
      <c r="E14" s="30">
        <v>1.2</v>
      </c>
      <c r="F14" s="30">
        <v>1.3</v>
      </c>
      <c r="G14" s="30">
        <v>1.3</v>
      </c>
      <c r="H14" s="30">
        <v>1.4</v>
      </c>
      <c r="I14" s="30">
        <v>1.5</v>
      </c>
      <c r="J14" s="30">
        <v>1.5</v>
      </c>
      <c r="L14" s="17" t="s">
        <v>1599</v>
      </c>
      <c r="M14" s="30">
        <v>1.6</v>
      </c>
      <c r="N14" s="30">
        <v>1.7</v>
      </c>
      <c r="O14" s="30">
        <v>1.9</v>
      </c>
      <c r="P14" s="30">
        <v>2</v>
      </c>
      <c r="Q14" s="30">
        <v>2.1</v>
      </c>
      <c r="R14" s="30">
        <v>2.2000000000000002</v>
      </c>
      <c r="U14" s="37">
        <f>SUM(U7:U13)</f>
        <v>100.1</v>
      </c>
    </row>
    <row r="15" spans="1:21" x14ac:dyDescent="0.35">
      <c r="A15" s="17" t="s">
        <v>177</v>
      </c>
      <c r="B15" s="29" t="s">
        <v>179</v>
      </c>
      <c r="C15" s="17" t="s">
        <v>1601</v>
      </c>
      <c r="D15" s="17" t="s">
        <v>1102</v>
      </c>
      <c r="E15" s="30">
        <v>1</v>
      </c>
      <c r="F15" s="30">
        <v>1.1000000000000001</v>
      </c>
      <c r="G15" s="30">
        <v>1.1000000000000001</v>
      </c>
      <c r="H15" s="30">
        <v>1.2</v>
      </c>
      <c r="I15" s="30">
        <v>1.3</v>
      </c>
      <c r="J15" s="30">
        <v>1.4</v>
      </c>
      <c r="L15" s="17" t="s">
        <v>1600</v>
      </c>
      <c r="M15" s="30">
        <v>1.2</v>
      </c>
      <c r="N15" s="30">
        <v>1.3</v>
      </c>
      <c r="O15" s="30">
        <v>1.3</v>
      </c>
      <c r="P15" s="30">
        <v>1.4</v>
      </c>
      <c r="Q15" s="30">
        <v>1.5</v>
      </c>
      <c r="R15" s="30">
        <v>1.5</v>
      </c>
    </row>
    <row r="16" spans="1:21" x14ac:dyDescent="0.35">
      <c r="A16" s="17" t="s">
        <v>177</v>
      </c>
      <c r="B16" s="29" t="s">
        <v>179</v>
      </c>
      <c r="C16" s="17" t="s">
        <v>1602</v>
      </c>
      <c r="D16" s="17" t="s">
        <v>1102</v>
      </c>
      <c r="E16" s="30">
        <v>0.2</v>
      </c>
      <c r="F16" s="30">
        <v>0.4</v>
      </c>
      <c r="G16" s="30">
        <v>0.5</v>
      </c>
      <c r="H16" s="30">
        <v>0.7</v>
      </c>
      <c r="I16" s="30">
        <v>0.8</v>
      </c>
      <c r="J16" s="30">
        <v>1</v>
      </c>
      <c r="L16" s="17" t="s">
        <v>1601</v>
      </c>
      <c r="M16" s="30">
        <v>1</v>
      </c>
      <c r="N16" s="30">
        <v>1.1000000000000001</v>
      </c>
      <c r="O16" s="30">
        <v>1.1000000000000001</v>
      </c>
      <c r="P16" s="30">
        <v>1.2</v>
      </c>
      <c r="Q16" s="30">
        <v>1.3</v>
      </c>
      <c r="R16" s="30">
        <v>1.4</v>
      </c>
    </row>
    <row r="17" spans="1:22" x14ac:dyDescent="0.35">
      <c r="A17" s="17" t="s">
        <v>177</v>
      </c>
      <c r="B17" s="29" t="s">
        <v>179</v>
      </c>
      <c r="C17" s="17" t="s">
        <v>1603</v>
      </c>
      <c r="D17" s="17" t="s">
        <v>1102</v>
      </c>
      <c r="E17" s="30">
        <v>0.3</v>
      </c>
      <c r="F17" s="30">
        <v>0.4</v>
      </c>
      <c r="G17" s="30">
        <v>0.5</v>
      </c>
      <c r="H17" s="30">
        <v>0.6</v>
      </c>
      <c r="I17" s="30">
        <v>0.6</v>
      </c>
      <c r="J17" s="30">
        <v>0.7</v>
      </c>
      <c r="L17" s="17" t="s">
        <v>1602</v>
      </c>
      <c r="M17" s="30">
        <v>0.2</v>
      </c>
      <c r="N17" s="30">
        <v>0.4</v>
      </c>
      <c r="O17" s="30">
        <v>0.5</v>
      </c>
      <c r="P17" s="30">
        <v>0.7</v>
      </c>
      <c r="Q17" s="30">
        <v>0.8</v>
      </c>
      <c r="R17" s="30">
        <v>1</v>
      </c>
    </row>
    <row r="18" spans="1:22" x14ac:dyDescent="0.35">
      <c r="A18" s="17" t="s">
        <v>177</v>
      </c>
      <c r="B18" s="29" t="s">
        <v>179</v>
      </c>
      <c r="C18" s="17" t="s">
        <v>1604</v>
      </c>
      <c r="D18" s="17" t="s">
        <v>1102</v>
      </c>
      <c r="E18" s="20" t="s">
        <v>202</v>
      </c>
      <c r="F18" s="20" t="s">
        <v>202</v>
      </c>
      <c r="G18" s="20" t="s">
        <v>202</v>
      </c>
      <c r="H18" s="20" t="s">
        <v>202</v>
      </c>
      <c r="I18" s="20" t="s">
        <v>202</v>
      </c>
      <c r="J18" s="20" t="s">
        <v>202</v>
      </c>
      <c r="L18" s="17" t="s">
        <v>1603</v>
      </c>
      <c r="M18" s="30">
        <v>0.3</v>
      </c>
      <c r="N18" s="30">
        <v>0.4</v>
      </c>
      <c r="O18" s="30">
        <v>0.5</v>
      </c>
      <c r="P18" s="30">
        <v>0.6</v>
      </c>
      <c r="Q18" s="30">
        <v>0.6</v>
      </c>
      <c r="R18" s="30">
        <v>0.7</v>
      </c>
    </row>
    <row r="19" spans="1:22" x14ac:dyDescent="0.35">
      <c r="A19" s="17" t="s">
        <v>177</v>
      </c>
      <c r="B19" s="29" t="s">
        <v>179</v>
      </c>
      <c r="C19" s="17" t="s">
        <v>130</v>
      </c>
      <c r="D19" s="17" t="s">
        <v>1102</v>
      </c>
      <c r="E19" s="30">
        <v>4.5999999999999996</v>
      </c>
      <c r="F19" s="30">
        <v>4.3</v>
      </c>
      <c r="G19" s="30">
        <v>5</v>
      </c>
      <c r="H19" s="30">
        <v>5.2</v>
      </c>
      <c r="I19" s="30">
        <v>5.8</v>
      </c>
      <c r="J19" s="30">
        <v>6.2</v>
      </c>
      <c r="L19" s="17" t="s">
        <v>1604</v>
      </c>
      <c r="M19" s="20" t="s">
        <v>202</v>
      </c>
      <c r="N19" s="20" t="s">
        <v>202</v>
      </c>
      <c r="O19" s="20" t="s">
        <v>202</v>
      </c>
      <c r="P19" s="20" t="s">
        <v>202</v>
      </c>
      <c r="Q19" s="20" t="s">
        <v>202</v>
      </c>
      <c r="R19" s="20" t="s">
        <v>202</v>
      </c>
    </row>
    <row r="20" spans="1:22" x14ac:dyDescent="0.35">
      <c r="A20" s="17" t="s">
        <v>177</v>
      </c>
      <c r="B20" s="29" t="s">
        <v>179</v>
      </c>
      <c r="C20" s="17" t="s">
        <v>31</v>
      </c>
      <c r="D20" s="17" t="s">
        <v>1102</v>
      </c>
      <c r="E20" s="30">
        <v>100</v>
      </c>
      <c r="F20" s="30">
        <v>100</v>
      </c>
      <c r="G20" s="30">
        <v>100</v>
      </c>
      <c r="H20" s="30">
        <v>100</v>
      </c>
      <c r="I20" s="30">
        <v>100</v>
      </c>
      <c r="J20" s="30">
        <v>100</v>
      </c>
      <c r="L20" s="17" t="s">
        <v>130</v>
      </c>
      <c r="M20" s="30">
        <v>4.5999999999999996</v>
      </c>
      <c r="N20" s="30">
        <v>4.3</v>
      </c>
      <c r="O20" s="30">
        <v>5</v>
      </c>
      <c r="P20" s="30">
        <v>5.2</v>
      </c>
      <c r="Q20" s="30">
        <v>5.8</v>
      </c>
      <c r="R20" s="30">
        <v>6.2</v>
      </c>
    </row>
    <row r="21" spans="1:22" x14ac:dyDescent="0.35">
      <c r="L21" s="17" t="s">
        <v>31</v>
      </c>
      <c r="M21" s="30">
        <v>100</v>
      </c>
      <c r="N21" s="30">
        <v>100</v>
      </c>
      <c r="O21" s="30">
        <v>100</v>
      </c>
      <c r="P21" s="30">
        <v>100</v>
      </c>
      <c r="Q21" s="30">
        <v>100</v>
      </c>
      <c r="R21" s="30">
        <v>100</v>
      </c>
    </row>
    <row r="22" spans="1:22" x14ac:dyDescent="0.35">
      <c r="A22" s="33" t="s">
        <v>1093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22" x14ac:dyDescent="0.35">
      <c r="A23" s="28" t="s">
        <v>1094</v>
      </c>
      <c r="B23" s="27"/>
      <c r="C23" s="27"/>
      <c r="D23" s="27"/>
      <c r="E23" s="38">
        <f>SUM(E7:E19)</f>
        <v>99.899999999999991</v>
      </c>
      <c r="F23" s="38">
        <f t="shared" ref="F23:I23" si="1">SUM(F7:F19)</f>
        <v>100</v>
      </c>
      <c r="G23" s="38">
        <f t="shared" si="1"/>
        <v>100.19999999999999</v>
      </c>
      <c r="H23" s="38">
        <f t="shared" si="1"/>
        <v>100.00000000000001</v>
      </c>
      <c r="I23" s="38">
        <f t="shared" si="1"/>
        <v>99.899999999999977</v>
      </c>
      <c r="J23" s="38">
        <f>SUM(J7:J19)</f>
        <v>100.10000000000001</v>
      </c>
    </row>
    <row r="25" spans="1:22" x14ac:dyDescent="0.35">
      <c r="A25" s="28" t="s">
        <v>1605</v>
      </c>
      <c r="B25" s="27"/>
      <c r="C25" s="27"/>
      <c r="D25" s="27"/>
      <c r="E25" s="27"/>
      <c r="F25" s="27"/>
      <c r="G25" s="27"/>
      <c r="H25" s="27"/>
      <c r="I25" s="27"/>
      <c r="J25" s="27"/>
    </row>
    <row r="26" spans="1:22" x14ac:dyDescent="0.35">
      <c r="A26" s="28" t="s">
        <v>1096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22" x14ac:dyDescent="0.35">
      <c r="N27" s="1">
        <v>2018</v>
      </c>
      <c r="O27" s="1" t="s">
        <v>1084</v>
      </c>
      <c r="P27" s="1" t="s">
        <v>1085</v>
      </c>
      <c r="Q27" s="1" t="s">
        <v>1086</v>
      </c>
      <c r="R27" s="1" t="s">
        <v>1087</v>
      </c>
      <c r="S27" s="1" t="s">
        <v>1088</v>
      </c>
    </row>
    <row r="28" spans="1:22" x14ac:dyDescent="0.35">
      <c r="M28" s="35" t="s">
        <v>1089</v>
      </c>
      <c r="N28" s="80">
        <f>M8</f>
        <v>18.2</v>
      </c>
      <c r="O28" s="80">
        <f t="shared" ref="O28:R28" si="2">N8</f>
        <v>19</v>
      </c>
      <c r="P28" s="80">
        <f t="shared" si="2"/>
        <v>19.899999999999999</v>
      </c>
      <c r="Q28" s="80">
        <f t="shared" si="2"/>
        <v>21.1</v>
      </c>
      <c r="R28" s="80">
        <f t="shared" si="2"/>
        <v>22.4</v>
      </c>
      <c r="S28" s="36">
        <v>20</v>
      </c>
    </row>
    <row r="29" spans="1:22" x14ac:dyDescent="0.35">
      <c r="A29" s="79" t="s">
        <v>1082</v>
      </c>
      <c r="B29" s="79" t="s">
        <v>1083</v>
      </c>
      <c r="C29" s="79" t="s">
        <v>1084</v>
      </c>
      <c r="D29" s="79" t="s">
        <v>1085</v>
      </c>
      <c r="E29" s="79" t="s">
        <v>1086</v>
      </c>
      <c r="F29" s="79" t="s">
        <v>1087</v>
      </c>
      <c r="G29" s="79" t="str">
        <f>A29</f>
        <v>Company Name</v>
      </c>
      <c r="H29" t="s">
        <v>192</v>
      </c>
    </row>
    <row r="30" spans="1:22" x14ac:dyDescent="0.35">
      <c r="A30" s="79" t="s">
        <v>1536</v>
      </c>
      <c r="B30" s="79">
        <f>M7*$P$38/100</f>
        <v>8118.0505000000003</v>
      </c>
      <c r="C30" s="79">
        <f>N7*$Q$38/100</f>
        <v>8068.347999999999</v>
      </c>
      <c r="D30" s="79">
        <f>O7*$R$38/100</f>
        <v>7674.1191999999992</v>
      </c>
      <c r="E30" s="79">
        <f>P7*$S$38/100</f>
        <v>6983.0280000000002</v>
      </c>
      <c r="F30" s="79">
        <f>Q7*$T$38/100</f>
        <v>6459.8981999999996</v>
      </c>
      <c r="G30" s="79" t="str">
        <f t="shared" ref="G30:G36" si="3">A30</f>
        <v>Abbott Vietnam Co Ltd</v>
      </c>
      <c r="H30" s="37">
        <f>G48</f>
        <v>4.8</v>
      </c>
    </row>
    <row r="31" spans="1:22" x14ac:dyDescent="0.35">
      <c r="A31" s="79" t="s">
        <v>1089</v>
      </c>
      <c r="B31" s="79">
        <f>M8*$P$38/100</f>
        <v>6030.5518000000002</v>
      </c>
      <c r="C31" s="79">
        <f t="shared" ref="C31:C36" si="4">N8*$Q$38/100</f>
        <v>6282.73</v>
      </c>
      <c r="D31" s="79">
        <f t="shared" ref="D31:D36" si="5">O8*$R$38/100</f>
        <v>6582.5418999999993</v>
      </c>
      <c r="E31" s="79">
        <f t="shared" ref="E31:E36" si="6">P8*$S$38/100</f>
        <v>6853.1112000000012</v>
      </c>
      <c r="F31" s="79">
        <f t="shared" ref="F31:F36" si="7">Q8*$T$38/100</f>
        <v>7271.4431999999997</v>
      </c>
      <c r="G31" s="79" t="str">
        <f t="shared" si="3"/>
        <v>Vietnam Dairy Products JSC (Vinamilk)</v>
      </c>
      <c r="H31" s="37">
        <f t="shared" ref="H31:H32" si="8">G49</f>
        <v>-5.5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spans="1:22" x14ac:dyDescent="0.35">
      <c r="A32" s="79" t="s">
        <v>1091</v>
      </c>
      <c r="B32" s="79">
        <f t="shared" ref="B32:B36" si="9">M9*$P$38/100</f>
        <v>3711.1088</v>
      </c>
      <c r="C32" s="79">
        <f t="shared" si="4"/>
        <v>3934.973</v>
      </c>
      <c r="D32" s="79">
        <f t="shared" si="5"/>
        <v>4002.4500999999996</v>
      </c>
      <c r="E32" s="79">
        <f t="shared" si="6"/>
        <v>4092.3791999999999</v>
      </c>
      <c r="F32" s="79">
        <f t="shared" si="7"/>
        <v>4447.2665999999999</v>
      </c>
      <c r="G32" s="79" t="str">
        <f t="shared" si="3"/>
        <v>Nestlé Vietnam Co Ltd</v>
      </c>
      <c r="H32" s="37">
        <f t="shared" si="8"/>
        <v>4.4000000000000004</v>
      </c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</row>
    <row r="33" spans="1:22" x14ac:dyDescent="0.35">
      <c r="A33" s="79" t="s">
        <v>1535</v>
      </c>
      <c r="B33" s="79">
        <f t="shared" si="9"/>
        <v>3512.2993999999999</v>
      </c>
      <c r="C33" s="79">
        <f t="shared" si="4"/>
        <v>3538.1689999999999</v>
      </c>
      <c r="D33" s="79">
        <f t="shared" si="5"/>
        <v>3638.5909999999999</v>
      </c>
      <c r="E33" s="79">
        <f t="shared" si="6"/>
        <v>3702.6288</v>
      </c>
      <c r="F33" s="79">
        <f t="shared" si="7"/>
        <v>3862.9541999999997</v>
      </c>
      <c r="G33" s="17" t="s">
        <v>1550</v>
      </c>
      <c r="H33" s="37">
        <f>G54</f>
        <v>2.4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spans="1:22" x14ac:dyDescent="0.35">
      <c r="A34" s="79" t="s">
        <v>1090</v>
      </c>
      <c r="B34" s="79">
        <f t="shared" si="9"/>
        <v>3943.0531000000005</v>
      </c>
      <c r="C34" s="79">
        <f t="shared" si="4"/>
        <v>3968.04</v>
      </c>
      <c r="D34" s="79">
        <f t="shared" si="5"/>
        <v>3870.1376999999998</v>
      </c>
      <c r="E34" s="79">
        <f t="shared" si="6"/>
        <v>3735.1079999999997</v>
      </c>
      <c r="F34" s="79">
        <f t="shared" si="7"/>
        <v>3668.1834000000003</v>
      </c>
      <c r="G34" s="79" t="str">
        <f t="shared" si="3"/>
        <v>FrieslandCampina Vietnam Co Ltd</v>
      </c>
      <c r="H34" s="37">
        <f>G55</f>
        <v>-1.9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2" x14ac:dyDescent="0.35">
      <c r="A35" s="79" t="s">
        <v>1092</v>
      </c>
      <c r="B35" s="79">
        <f t="shared" si="9"/>
        <v>4837.6954000000005</v>
      </c>
      <c r="C35" s="79">
        <f t="shared" si="4"/>
        <v>4232.576</v>
      </c>
      <c r="D35" s="79">
        <f t="shared" si="5"/>
        <v>3969.3719999999994</v>
      </c>
      <c r="E35" s="79">
        <f t="shared" si="6"/>
        <v>3507.7536000000005</v>
      </c>
      <c r="F35" s="79">
        <f t="shared" si="7"/>
        <v>2791.7147999999997</v>
      </c>
      <c r="G35" s="79" t="str">
        <f t="shared" si="3"/>
        <v>Nutifood Nutrition Food JSC</v>
      </c>
      <c r="H35" s="37">
        <f>G56</f>
        <v>-12.8</v>
      </c>
      <c r="L35" s="31" t="s">
        <v>1606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x14ac:dyDescent="0.35">
      <c r="A36" s="79" t="s">
        <v>130</v>
      </c>
      <c r="B36" s="79">
        <f t="shared" si="9"/>
        <v>2949.0061000000001</v>
      </c>
      <c r="C36" s="79">
        <f t="shared" si="4"/>
        <v>3042.1639999999998</v>
      </c>
      <c r="D36" s="79">
        <f t="shared" si="5"/>
        <v>3407.0443</v>
      </c>
      <c r="E36" s="79">
        <f t="shared" si="6"/>
        <v>3605.1911999999998</v>
      </c>
      <c r="F36" s="79">
        <f t="shared" si="7"/>
        <v>3927.8777999999998</v>
      </c>
      <c r="G36" s="79" t="str">
        <f t="shared" si="3"/>
        <v>Others</v>
      </c>
      <c r="H36" s="37">
        <f>AVERAGE(G51,G57:G64)</f>
        <v>14.100000000000001</v>
      </c>
      <c r="L36" s="1" t="s">
        <v>173</v>
      </c>
      <c r="M36" s="1" t="s">
        <v>174</v>
      </c>
      <c r="N36" s="1" t="s">
        <v>1098</v>
      </c>
      <c r="O36" s="1" t="s">
        <v>175</v>
      </c>
      <c r="P36" s="1" t="s">
        <v>1117</v>
      </c>
      <c r="Q36" s="1" t="s">
        <v>1607</v>
      </c>
      <c r="R36" s="1" t="s">
        <v>1608</v>
      </c>
      <c r="S36" s="1" t="s">
        <v>1609</v>
      </c>
      <c r="T36" s="1" t="s">
        <v>1610</v>
      </c>
      <c r="U36" s="1" t="s">
        <v>1611</v>
      </c>
      <c r="V36" s="1" t="s">
        <v>1612</v>
      </c>
    </row>
    <row r="37" spans="1:22" x14ac:dyDescent="0.35">
      <c r="G37" t="s">
        <v>1106</v>
      </c>
      <c r="H37" s="84">
        <f>AVERAGE(H29:H36)/100</f>
        <v>7.8571428571428577E-3</v>
      </c>
      <c r="K37" s="17" t="s">
        <v>177</v>
      </c>
      <c r="L37" s="29" t="s">
        <v>179</v>
      </c>
      <c r="M37" s="17" t="s">
        <v>1102</v>
      </c>
      <c r="N37" s="17" t="s">
        <v>0</v>
      </c>
      <c r="O37" s="17" t="s">
        <v>1118</v>
      </c>
      <c r="P37" s="30">
        <v>2.6</v>
      </c>
      <c r="Q37" s="30">
        <v>-0.2</v>
      </c>
      <c r="R37" s="30">
        <v>0</v>
      </c>
      <c r="S37" s="30">
        <v>-1.8</v>
      </c>
      <c r="T37" s="30">
        <v>-0.1</v>
      </c>
      <c r="U37" s="30">
        <v>3.2</v>
      </c>
    </row>
    <row r="38" spans="1:22" x14ac:dyDescent="0.35">
      <c r="K38" s="17" t="s">
        <v>177</v>
      </c>
      <c r="L38" s="29" t="s">
        <v>179</v>
      </c>
      <c r="M38" s="17" t="s">
        <v>1102</v>
      </c>
      <c r="N38" s="17" t="s">
        <v>0</v>
      </c>
      <c r="O38" s="17" t="s">
        <v>1118</v>
      </c>
      <c r="P38" s="30">
        <v>33134.9</v>
      </c>
      <c r="Q38" s="30">
        <v>33067</v>
      </c>
      <c r="R38" s="30">
        <v>33078.1</v>
      </c>
      <c r="S38" s="30">
        <v>32479.200000000001</v>
      </c>
      <c r="T38" s="30">
        <v>32461.8</v>
      </c>
      <c r="U38" s="30">
        <v>33507.699999999997</v>
      </c>
    </row>
    <row r="39" spans="1:22" x14ac:dyDescent="0.35">
      <c r="K39" s="33" t="s">
        <v>1093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 spans="1:22" x14ac:dyDescent="0.35">
      <c r="K40" s="28" t="s">
        <v>1094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2" spans="1:22" x14ac:dyDescent="0.35">
      <c r="A42" s="31"/>
      <c r="B42" s="31"/>
      <c r="C42" s="31"/>
      <c r="D42" s="31"/>
      <c r="E42" s="31"/>
      <c r="F42" s="31"/>
      <c r="G42" s="31"/>
      <c r="H42" s="31"/>
      <c r="K42" s="28" t="s">
        <v>1613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22" x14ac:dyDescent="0.35">
      <c r="A43" s="32"/>
      <c r="B43" s="32"/>
      <c r="C43" s="32"/>
      <c r="D43" s="32"/>
      <c r="E43" s="32"/>
      <c r="F43" s="32"/>
      <c r="G43" s="32"/>
      <c r="H43" s="32"/>
      <c r="K43" s="28" t="s">
        <v>1096</v>
      </c>
      <c r="L43" s="27"/>
      <c r="M43" s="27"/>
      <c r="N43" s="27"/>
      <c r="O43" s="27"/>
      <c r="P43" s="1">
        <v>2018</v>
      </c>
      <c r="Q43" s="1">
        <v>2019</v>
      </c>
      <c r="R43" s="1">
        <v>2020</v>
      </c>
      <c r="S43" s="1">
        <v>2021</v>
      </c>
      <c r="T43" s="1">
        <v>2022</v>
      </c>
      <c r="U43" s="27"/>
    </row>
    <row r="44" spans="1:22" x14ac:dyDescent="0.35">
      <c r="A44" s="31"/>
      <c r="B44" s="31"/>
      <c r="C44" s="31"/>
      <c r="D44" s="31"/>
      <c r="E44" s="31"/>
      <c r="F44" s="31"/>
      <c r="G44" s="31"/>
      <c r="H44" s="31"/>
      <c r="O44" t="s">
        <v>14</v>
      </c>
      <c r="P44" s="82">
        <f>P37/100</f>
        <v>2.6000000000000002E-2</v>
      </c>
      <c r="Q44" s="82">
        <f t="shared" ref="Q44:T44" si="10">Q37/100</f>
        <v>-2E-3</v>
      </c>
      <c r="R44" s="82">
        <f t="shared" si="10"/>
        <v>0</v>
      </c>
      <c r="S44" s="82">
        <f t="shared" si="10"/>
        <v>-1.8000000000000002E-2</v>
      </c>
      <c r="T44" s="82">
        <f t="shared" si="10"/>
        <v>-1E-3</v>
      </c>
    </row>
    <row r="45" spans="1:22" x14ac:dyDescent="0.35">
      <c r="A45" s="31"/>
      <c r="B45" s="31"/>
      <c r="C45" s="31"/>
      <c r="D45" s="31"/>
      <c r="E45" s="31"/>
      <c r="F45" s="31"/>
      <c r="G45" s="31"/>
      <c r="H45" s="31"/>
      <c r="O45" t="s">
        <v>13</v>
      </c>
      <c r="P45" s="37">
        <f>P38</f>
        <v>33134.9</v>
      </c>
      <c r="Q45" s="37">
        <f t="shared" ref="Q45:T45" si="11">Q38</f>
        <v>33067</v>
      </c>
      <c r="R45" s="37">
        <f t="shared" si="11"/>
        <v>33078.1</v>
      </c>
      <c r="S45" s="37">
        <f t="shared" si="11"/>
        <v>32479.200000000001</v>
      </c>
      <c r="T45" s="37">
        <f t="shared" si="11"/>
        <v>32461.8</v>
      </c>
    </row>
    <row r="46" spans="1:22" x14ac:dyDescent="0.35">
      <c r="A46" s="31" t="s">
        <v>1097</v>
      </c>
      <c r="B46" s="28"/>
      <c r="C46" s="28"/>
      <c r="D46" s="28"/>
      <c r="E46" s="28"/>
      <c r="F46" s="28"/>
      <c r="G46" s="28"/>
      <c r="H46" s="28"/>
    </row>
    <row r="47" spans="1:22" x14ac:dyDescent="0.35">
      <c r="A47" s="1" t="s">
        <v>173</v>
      </c>
      <c r="B47" s="1" t="s">
        <v>174</v>
      </c>
      <c r="C47" s="1" t="s">
        <v>1082</v>
      </c>
      <c r="D47" s="1" t="s">
        <v>1098</v>
      </c>
      <c r="E47" s="1" t="s">
        <v>175</v>
      </c>
      <c r="F47" s="1" t="s">
        <v>1099</v>
      </c>
      <c r="G47" s="1" t="s">
        <v>1100</v>
      </c>
      <c r="H47" s="1" t="s">
        <v>1101</v>
      </c>
      <c r="P47" s="1">
        <v>2018</v>
      </c>
      <c r="Q47" s="1">
        <v>2019</v>
      </c>
      <c r="R47" s="1">
        <v>2020</v>
      </c>
      <c r="S47" s="1">
        <v>2021</v>
      </c>
      <c r="T47" s="1">
        <v>2022</v>
      </c>
    </row>
    <row r="48" spans="1:22" x14ac:dyDescent="0.35">
      <c r="A48" s="17" t="s">
        <v>177</v>
      </c>
      <c r="B48" s="29" t="s">
        <v>179</v>
      </c>
      <c r="C48" s="17" t="s">
        <v>1551</v>
      </c>
      <c r="D48" s="17" t="s">
        <v>1102</v>
      </c>
      <c r="E48" s="17" t="s">
        <v>0</v>
      </c>
      <c r="F48" s="30">
        <v>20.7</v>
      </c>
      <c r="G48" s="30">
        <v>4.8</v>
      </c>
      <c r="H48" s="30">
        <v>1251.0999999999999</v>
      </c>
      <c r="O48" t="s">
        <v>1614</v>
      </c>
      <c r="P48">
        <f>P51*P45/100</f>
        <v>8118.0505000000003</v>
      </c>
      <c r="Q48">
        <f t="shared" ref="Q48:T48" si="12">Q51*Q45/100</f>
        <v>8068.347999999999</v>
      </c>
      <c r="R48">
        <f t="shared" si="12"/>
        <v>7674.1191999999992</v>
      </c>
      <c r="S48">
        <f t="shared" si="12"/>
        <v>6983.0280000000002</v>
      </c>
      <c r="T48">
        <f t="shared" si="12"/>
        <v>6459.8981999999996</v>
      </c>
    </row>
    <row r="49" spans="1:20" x14ac:dyDescent="0.35">
      <c r="A49" s="17" t="s">
        <v>177</v>
      </c>
      <c r="B49" s="29" t="s">
        <v>179</v>
      </c>
      <c r="C49" s="17" t="s">
        <v>1089</v>
      </c>
      <c r="D49" s="17" t="s">
        <v>1102</v>
      </c>
      <c r="E49" s="17" t="s">
        <v>0</v>
      </c>
      <c r="F49" s="30">
        <v>-20.3</v>
      </c>
      <c r="G49" s="30">
        <v>-5.5</v>
      </c>
      <c r="H49" s="30">
        <v>-1651.5</v>
      </c>
      <c r="O49" t="s">
        <v>1615</v>
      </c>
      <c r="P49" s="36">
        <v>24.5</v>
      </c>
      <c r="Q49" s="36">
        <v>24.4</v>
      </c>
      <c r="R49" s="36">
        <v>23.2</v>
      </c>
      <c r="S49" s="36">
        <v>21.5</v>
      </c>
      <c r="T49" s="36">
        <v>19.899999999999999</v>
      </c>
    </row>
    <row r="50" spans="1:20" x14ac:dyDescent="0.35">
      <c r="A50" s="17" t="s">
        <v>177</v>
      </c>
      <c r="B50" s="29" t="s">
        <v>179</v>
      </c>
      <c r="C50" s="17" t="s">
        <v>1104</v>
      </c>
      <c r="D50" s="17" t="s">
        <v>1102</v>
      </c>
      <c r="E50" s="17" t="s">
        <v>0</v>
      </c>
      <c r="F50" s="30">
        <v>19</v>
      </c>
      <c r="G50" s="30">
        <v>4.4000000000000004</v>
      </c>
      <c r="H50" s="30">
        <v>709.2</v>
      </c>
    </row>
    <row r="51" spans="1:20" x14ac:dyDescent="0.35">
      <c r="A51" s="17" t="s">
        <v>177</v>
      </c>
      <c r="B51" s="29" t="s">
        <v>179</v>
      </c>
      <c r="C51" s="17" t="s">
        <v>1555</v>
      </c>
      <c r="D51" s="17" t="s">
        <v>1102</v>
      </c>
      <c r="E51" s="17" t="s">
        <v>0</v>
      </c>
      <c r="F51" s="20" t="s">
        <v>202</v>
      </c>
      <c r="G51" s="20" t="s">
        <v>202</v>
      </c>
      <c r="H51" s="20" t="s">
        <v>202</v>
      </c>
      <c r="O51" s="35" t="s">
        <v>1089</v>
      </c>
      <c r="P51" s="36">
        <v>24.5</v>
      </c>
      <c r="Q51" s="36">
        <v>24.4</v>
      </c>
      <c r="R51" s="36">
        <v>23.2</v>
      </c>
      <c r="S51" s="36">
        <v>21.5</v>
      </c>
      <c r="T51" s="36">
        <v>19.899999999999999</v>
      </c>
    </row>
    <row r="52" spans="1:20" x14ac:dyDescent="0.35">
      <c r="A52" s="17" t="s">
        <v>177</v>
      </c>
      <c r="B52" s="29" t="s">
        <v>179</v>
      </c>
      <c r="C52" s="17" t="s">
        <v>1103</v>
      </c>
      <c r="D52" s="17" t="s">
        <v>1102</v>
      </c>
      <c r="E52" s="17" t="s">
        <v>0</v>
      </c>
      <c r="F52" s="30">
        <v>-7.6</v>
      </c>
      <c r="G52" s="30">
        <v>-1.9</v>
      </c>
      <c r="H52" s="30">
        <v>-299</v>
      </c>
      <c r="P52">
        <f>P51*P45/100</f>
        <v>8118.0505000000003</v>
      </c>
    </row>
    <row r="53" spans="1:20" x14ac:dyDescent="0.35">
      <c r="A53" s="17" t="s">
        <v>177</v>
      </c>
      <c r="B53" s="29" t="s">
        <v>179</v>
      </c>
      <c r="C53" s="17" t="s">
        <v>1092</v>
      </c>
      <c r="D53" s="17" t="s">
        <v>1102</v>
      </c>
      <c r="E53" s="17" t="s">
        <v>0</v>
      </c>
      <c r="F53" s="30">
        <v>-42.2</v>
      </c>
      <c r="G53" s="30">
        <v>-12.8</v>
      </c>
      <c r="H53" s="30">
        <v>-2036.8</v>
      </c>
    </row>
    <row r="54" spans="1:20" x14ac:dyDescent="0.35">
      <c r="A54" s="17" t="s">
        <v>177</v>
      </c>
      <c r="B54" s="29" t="s">
        <v>179</v>
      </c>
      <c r="C54" s="17" t="s">
        <v>1550</v>
      </c>
      <c r="D54" s="17" t="s">
        <v>1102</v>
      </c>
      <c r="E54" s="17" t="s">
        <v>0</v>
      </c>
      <c r="F54" s="30">
        <v>10</v>
      </c>
      <c r="G54" s="30">
        <v>2.4</v>
      </c>
      <c r="H54" s="30">
        <v>351.8</v>
      </c>
    </row>
    <row r="55" spans="1:20" x14ac:dyDescent="0.35">
      <c r="A55" s="17" t="s">
        <v>177</v>
      </c>
      <c r="B55" s="29" t="s">
        <v>179</v>
      </c>
      <c r="C55" s="17" t="s">
        <v>1103</v>
      </c>
      <c r="D55" s="17" t="s">
        <v>1102</v>
      </c>
      <c r="E55" s="17" t="s">
        <v>0</v>
      </c>
      <c r="F55" s="30">
        <v>-7.6</v>
      </c>
      <c r="G55" s="30">
        <v>-1.9</v>
      </c>
      <c r="H55" s="30">
        <v>-299</v>
      </c>
    </row>
    <row r="56" spans="1:20" x14ac:dyDescent="0.35">
      <c r="A56" s="17" t="s">
        <v>177</v>
      </c>
      <c r="B56" s="29" t="s">
        <v>179</v>
      </c>
      <c r="C56" s="17" t="s">
        <v>1092</v>
      </c>
      <c r="D56" s="17" t="s">
        <v>1102</v>
      </c>
      <c r="E56" s="17" t="s">
        <v>0</v>
      </c>
      <c r="F56" s="30">
        <v>-42.2</v>
      </c>
      <c r="G56" s="30">
        <v>-12.8</v>
      </c>
      <c r="H56" s="30">
        <v>-2036.8</v>
      </c>
    </row>
    <row r="57" spans="1:20" x14ac:dyDescent="0.35">
      <c r="A57" s="17" t="s">
        <v>177</v>
      </c>
      <c r="B57" s="29" t="s">
        <v>179</v>
      </c>
      <c r="C57" s="17" t="s">
        <v>1599</v>
      </c>
      <c r="D57" s="17" t="s">
        <v>1102</v>
      </c>
      <c r="E57" s="17" t="s">
        <v>0</v>
      </c>
      <c r="F57" s="30">
        <v>30.7</v>
      </c>
      <c r="G57" s="30">
        <v>6.9</v>
      </c>
      <c r="H57" s="30">
        <v>163.30000000000001</v>
      </c>
    </row>
    <row r="58" spans="1:20" x14ac:dyDescent="0.35">
      <c r="A58" s="17" t="s">
        <v>177</v>
      </c>
      <c r="B58" s="29" t="s">
        <v>179</v>
      </c>
      <c r="C58" s="17" t="s">
        <v>1600</v>
      </c>
      <c r="D58" s="17" t="s">
        <v>1102</v>
      </c>
      <c r="E58" s="17" t="s">
        <v>0</v>
      </c>
      <c r="F58" s="30">
        <v>18.100000000000001</v>
      </c>
      <c r="G58" s="30">
        <v>4.3</v>
      </c>
      <c r="H58" s="30">
        <v>72.8</v>
      </c>
    </row>
    <row r="59" spans="1:20" x14ac:dyDescent="0.35">
      <c r="A59" s="17" t="s">
        <v>177</v>
      </c>
      <c r="B59" s="29" t="s">
        <v>179</v>
      </c>
      <c r="C59" s="17" t="s">
        <v>1616</v>
      </c>
      <c r="D59" s="17" t="s">
        <v>1102</v>
      </c>
      <c r="E59" s="17" t="s">
        <v>0</v>
      </c>
      <c r="F59" s="30">
        <v>30.1</v>
      </c>
      <c r="G59" s="30">
        <v>6.8</v>
      </c>
      <c r="H59" s="30">
        <v>96.9</v>
      </c>
    </row>
    <row r="60" spans="1:20" x14ac:dyDescent="0.35">
      <c r="A60" s="17" t="s">
        <v>177</v>
      </c>
      <c r="B60" s="29" t="s">
        <v>179</v>
      </c>
      <c r="C60" s="17" t="s">
        <v>1602</v>
      </c>
      <c r="D60" s="17" t="s">
        <v>1102</v>
      </c>
      <c r="E60" s="17" t="s">
        <v>0</v>
      </c>
      <c r="F60" s="30">
        <v>295.2</v>
      </c>
      <c r="G60" s="30">
        <v>41</v>
      </c>
      <c r="H60" s="30">
        <v>203.2</v>
      </c>
    </row>
    <row r="61" spans="1:20" x14ac:dyDescent="0.35">
      <c r="A61" s="17" t="s">
        <v>177</v>
      </c>
      <c r="B61" s="29" t="s">
        <v>179</v>
      </c>
      <c r="C61" s="17" t="s">
        <v>1603</v>
      </c>
      <c r="D61" s="17" t="s">
        <v>1102</v>
      </c>
      <c r="E61" s="17" t="s">
        <v>0</v>
      </c>
      <c r="F61" s="30">
        <v>108.5</v>
      </c>
      <c r="G61" s="30">
        <v>20.2</v>
      </c>
      <c r="H61" s="30">
        <v>108.5</v>
      </c>
    </row>
    <row r="62" spans="1:20" x14ac:dyDescent="0.35">
      <c r="A62" s="17" t="s">
        <v>177</v>
      </c>
      <c r="B62" s="29" t="s">
        <v>179</v>
      </c>
      <c r="C62" s="17" t="s">
        <v>1617</v>
      </c>
      <c r="D62" s="17" t="s">
        <v>1102</v>
      </c>
      <c r="E62" s="17" t="s">
        <v>0</v>
      </c>
      <c r="F62" s="20" t="s">
        <v>202</v>
      </c>
      <c r="G62" s="20" t="s">
        <v>202</v>
      </c>
      <c r="H62" s="20" t="s">
        <v>202</v>
      </c>
    </row>
    <row r="63" spans="1:20" x14ac:dyDescent="0.35">
      <c r="A63" s="17" t="s">
        <v>177</v>
      </c>
      <c r="B63" s="29" t="s">
        <v>179</v>
      </c>
      <c r="C63" s="17" t="s">
        <v>1555</v>
      </c>
      <c r="D63" s="17" t="s">
        <v>1102</v>
      </c>
      <c r="E63" s="17" t="s">
        <v>0</v>
      </c>
      <c r="F63" s="20" t="s">
        <v>202</v>
      </c>
      <c r="G63" s="20" t="s">
        <v>202</v>
      </c>
      <c r="H63" s="20" t="s">
        <v>202</v>
      </c>
    </row>
    <row r="64" spans="1:20" x14ac:dyDescent="0.35">
      <c r="A64" s="17" t="s">
        <v>177</v>
      </c>
      <c r="B64" s="29" t="s">
        <v>179</v>
      </c>
      <c r="C64" s="17" t="s">
        <v>130</v>
      </c>
      <c r="D64" s="17" t="s">
        <v>1102</v>
      </c>
      <c r="E64" s="17" t="s">
        <v>0</v>
      </c>
      <c r="F64" s="30">
        <v>23.6</v>
      </c>
      <c r="G64" s="30">
        <v>5.4</v>
      </c>
      <c r="H64" s="30">
        <v>357.5</v>
      </c>
    </row>
    <row r="65" spans="1:16" x14ac:dyDescent="0.35">
      <c r="A65" s="17" t="s">
        <v>177</v>
      </c>
      <c r="B65" s="29" t="s">
        <v>179</v>
      </c>
      <c r="C65" s="17" t="s">
        <v>31</v>
      </c>
      <c r="D65" s="17" t="s">
        <v>1102</v>
      </c>
      <c r="E65" s="17" t="s">
        <v>0</v>
      </c>
      <c r="F65" s="30">
        <v>-2</v>
      </c>
      <c r="G65" s="30">
        <v>-0.5</v>
      </c>
      <c r="H65" s="30">
        <v>-673.1</v>
      </c>
    </row>
    <row r="67" spans="1:16" x14ac:dyDescent="0.35">
      <c r="A67" s="33" t="s">
        <v>1093</v>
      </c>
      <c r="B67" s="27"/>
      <c r="C67" s="27"/>
      <c r="D67" s="27"/>
      <c r="E67" s="27"/>
      <c r="F67" s="27"/>
      <c r="G67" s="27"/>
      <c r="H67" s="27"/>
    </row>
    <row r="68" spans="1:16" x14ac:dyDescent="0.35">
      <c r="A68" s="28" t="s">
        <v>1094</v>
      </c>
      <c r="B68" s="27"/>
      <c r="C68" s="2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</row>
    <row r="69" spans="1:16" x14ac:dyDescent="0.35">
      <c r="D69" s="1" t="s">
        <v>173</v>
      </c>
      <c r="E69" s="1" t="s">
        <v>174</v>
      </c>
      <c r="F69" s="1" t="s">
        <v>1098</v>
      </c>
      <c r="G69" s="1" t="s">
        <v>175</v>
      </c>
      <c r="H69" s="1" t="s">
        <v>1117</v>
      </c>
      <c r="I69" s="1" t="s">
        <v>1083</v>
      </c>
      <c r="J69" s="1" t="s">
        <v>1084</v>
      </c>
      <c r="K69" s="1" t="s">
        <v>1085</v>
      </c>
      <c r="L69" s="1" t="s">
        <v>1086</v>
      </c>
      <c r="M69" s="1" t="s">
        <v>1087</v>
      </c>
      <c r="N69" s="1" t="s">
        <v>1088</v>
      </c>
    </row>
    <row r="70" spans="1:16" x14ac:dyDescent="0.35">
      <c r="A70" s="28" t="s">
        <v>1618</v>
      </c>
      <c r="B70" s="27"/>
      <c r="C70" s="27"/>
      <c r="D70" s="17" t="s">
        <v>177</v>
      </c>
      <c r="E70" s="29" t="s">
        <v>179</v>
      </c>
      <c r="F70" s="17" t="s">
        <v>1102</v>
      </c>
      <c r="G70" s="17" t="s">
        <v>0</v>
      </c>
      <c r="H70" s="17" t="s">
        <v>1118</v>
      </c>
      <c r="I70" s="30">
        <v>33134.9</v>
      </c>
      <c r="J70" s="30">
        <v>33067</v>
      </c>
      <c r="K70" s="30">
        <v>33078.1</v>
      </c>
      <c r="L70" s="30">
        <v>32479.200000000001</v>
      </c>
      <c r="M70" s="30">
        <v>32461.8</v>
      </c>
      <c r="N70" s="30">
        <v>33507.699999999997</v>
      </c>
    </row>
    <row r="71" spans="1:16" x14ac:dyDescent="0.35">
      <c r="A71" s="28" t="s">
        <v>1096</v>
      </c>
      <c r="B71" s="27"/>
      <c r="C71" s="27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</row>
    <row r="72" spans="1:16" x14ac:dyDescent="0.35">
      <c r="D72" s="31" t="s">
        <v>1107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1:16" x14ac:dyDescent="0.35">
      <c r="D73" s="1" t="s">
        <v>173</v>
      </c>
      <c r="E73" s="1" t="s">
        <v>174</v>
      </c>
      <c r="F73" s="1" t="s">
        <v>1108</v>
      </c>
      <c r="G73" s="1" t="s">
        <v>1109</v>
      </c>
      <c r="H73" s="1" t="s">
        <v>1098</v>
      </c>
      <c r="I73" s="1" t="s">
        <v>1083</v>
      </c>
      <c r="J73" s="1" t="s">
        <v>1084</v>
      </c>
      <c r="K73" s="1" t="s">
        <v>1085</v>
      </c>
      <c r="L73" s="1" t="s">
        <v>1086</v>
      </c>
      <c r="M73" s="1" t="s">
        <v>1087</v>
      </c>
      <c r="N73" s="1" t="s">
        <v>1088</v>
      </c>
    </row>
    <row r="74" spans="1:16" hidden="1" x14ac:dyDescent="0.35">
      <c r="D74" s="17" t="s">
        <v>177</v>
      </c>
      <c r="E74" s="29" t="s">
        <v>179</v>
      </c>
      <c r="F74" s="17" t="s">
        <v>1619</v>
      </c>
      <c r="G74" s="17" t="s">
        <v>1089</v>
      </c>
      <c r="H74" s="17" t="s">
        <v>1102</v>
      </c>
      <c r="I74" s="30">
        <v>17.3</v>
      </c>
      <c r="J74" s="30">
        <v>16.899999999999999</v>
      </c>
      <c r="K74" s="30">
        <v>15.4</v>
      </c>
      <c r="L74" s="30">
        <v>13.5</v>
      </c>
      <c r="M74" s="30">
        <v>11.4</v>
      </c>
      <c r="N74" s="30">
        <v>11</v>
      </c>
      <c r="P74">
        <f ca="1">SUMIF(G74:I101,G74,I74:I101)</f>
        <v>24.6</v>
      </c>
    </row>
    <row r="75" spans="1:16" x14ac:dyDescent="0.35">
      <c r="D75" s="17" t="s">
        <v>177</v>
      </c>
      <c r="E75" s="29" t="s">
        <v>179</v>
      </c>
      <c r="F75" s="17" t="s">
        <v>1620</v>
      </c>
      <c r="G75" s="17" t="s">
        <v>1536</v>
      </c>
      <c r="H75" s="17" t="s">
        <v>1102</v>
      </c>
      <c r="I75" s="30">
        <v>8.1999999999999993</v>
      </c>
      <c r="J75" s="30">
        <v>8.5</v>
      </c>
      <c r="K75" s="30">
        <v>8.9</v>
      </c>
      <c r="L75" s="30">
        <v>9.5</v>
      </c>
      <c r="M75" s="30">
        <v>10</v>
      </c>
      <c r="N75" s="30">
        <v>10.3</v>
      </c>
    </row>
    <row r="76" spans="1:16" x14ac:dyDescent="0.35">
      <c r="D76" s="17" t="s">
        <v>177</v>
      </c>
      <c r="E76" s="29" t="s">
        <v>179</v>
      </c>
      <c r="F76" s="17" t="s">
        <v>1621</v>
      </c>
      <c r="G76" s="17" t="s">
        <v>1091</v>
      </c>
      <c r="H76" s="17" t="s">
        <v>1102</v>
      </c>
      <c r="I76" s="30">
        <v>6.7</v>
      </c>
      <c r="J76" s="30">
        <v>7</v>
      </c>
      <c r="K76" s="30">
        <v>7.4</v>
      </c>
      <c r="L76" s="30">
        <v>8</v>
      </c>
      <c r="M76" s="30">
        <v>8.6</v>
      </c>
      <c r="N76" s="30">
        <v>9.1</v>
      </c>
    </row>
    <row r="77" spans="1:16" hidden="1" x14ac:dyDescent="0.35">
      <c r="D77" s="17" t="s">
        <v>177</v>
      </c>
      <c r="E77" s="29" t="s">
        <v>179</v>
      </c>
      <c r="F77" s="17" t="s">
        <v>1622</v>
      </c>
      <c r="G77" s="17" t="s">
        <v>1089</v>
      </c>
      <c r="H77" s="17" t="s">
        <v>1102</v>
      </c>
      <c r="I77" s="30">
        <v>6.5</v>
      </c>
      <c r="J77" s="30">
        <v>6.7</v>
      </c>
      <c r="K77" s="30">
        <v>6.9</v>
      </c>
      <c r="L77" s="30">
        <v>7.2</v>
      </c>
      <c r="M77" s="30">
        <v>7.8</v>
      </c>
      <c r="N77" s="30">
        <v>8.3000000000000007</v>
      </c>
    </row>
    <row r="78" spans="1:16" x14ac:dyDescent="0.35">
      <c r="D78" s="17" t="s">
        <v>177</v>
      </c>
      <c r="E78" s="29" t="s">
        <v>179</v>
      </c>
      <c r="F78" s="17" t="s">
        <v>1623</v>
      </c>
      <c r="G78" s="17" t="s">
        <v>1536</v>
      </c>
      <c r="H78" s="17" t="s">
        <v>1102</v>
      </c>
      <c r="I78" s="30">
        <v>6.1</v>
      </c>
      <c r="J78" s="30">
        <v>6.4</v>
      </c>
      <c r="K78" s="30">
        <v>6.8</v>
      </c>
      <c r="L78" s="30">
        <v>7.2</v>
      </c>
      <c r="M78" s="30">
        <v>7.7</v>
      </c>
      <c r="N78" s="30">
        <v>8.1</v>
      </c>
    </row>
    <row r="79" spans="1:16" hidden="1" x14ac:dyDescent="0.35">
      <c r="D79" s="17" t="s">
        <v>177</v>
      </c>
      <c r="E79" s="29" t="s">
        <v>179</v>
      </c>
      <c r="F79" s="17" t="s">
        <v>1624</v>
      </c>
      <c r="G79" s="17" t="s">
        <v>1090</v>
      </c>
      <c r="H79" s="17" t="s">
        <v>1102</v>
      </c>
      <c r="I79" s="30">
        <v>7.9</v>
      </c>
      <c r="J79" s="30">
        <v>7.8</v>
      </c>
      <c r="K79" s="30">
        <v>7.8</v>
      </c>
      <c r="L79" s="30">
        <v>7.9</v>
      </c>
      <c r="M79" s="30">
        <v>8</v>
      </c>
      <c r="N79" s="30">
        <v>7.9</v>
      </c>
    </row>
    <row r="80" spans="1:16" hidden="1" x14ac:dyDescent="0.35">
      <c r="D80" s="17" t="s">
        <v>177</v>
      </c>
      <c r="E80" s="29" t="s">
        <v>179</v>
      </c>
      <c r="F80" s="17" t="s">
        <v>1625</v>
      </c>
      <c r="G80" s="17" t="s">
        <v>1092</v>
      </c>
      <c r="H80" s="17" t="s">
        <v>1102</v>
      </c>
      <c r="I80" s="30">
        <v>12.5</v>
      </c>
      <c r="J80" s="30">
        <v>10.6</v>
      </c>
      <c r="K80" s="30">
        <v>9.6</v>
      </c>
      <c r="L80" s="30">
        <v>8.1999999999999993</v>
      </c>
      <c r="M80" s="30">
        <v>6.6</v>
      </c>
      <c r="N80" s="30">
        <v>5.9</v>
      </c>
    </row>
    <row r="81" spans="4:14" hidden="1" x14ac:dyDescent="0.35">
      <c r="D81" s="17" t="s">
        <v>177</v>
      </c>
      <c r="E81" s="29" t="s">
        <v>179</v>
      </c>
      <c r="F81" s="17" t="s">
        <v>1626</v>
      </c>
      <c r="G81" s="17" t="s">
        <v>1535</v>
      </c>
      <c r="H81" s="17" t="s">
        <v>1102</v>
      </c>
      <c r="I81" s="30">
        <v>5</v>
      </c>
      <c r="J81" s="30">
        <v>4.9000000000000004</v>
      </c>
      <c r="K81" s="30">
        <v>5</v>
      </c>
      <c r="L81" s="30">
        <v>5.2</v>
      </c>
      <c r="M81" s="30">
        <v>5.4</v>
      </c>
      <c r="N81" s="30">
        <v>5.5</v>
      </c>
    </row>
    <row r="82" spans="4:14" x14ac:dyDescent="0.35">
      <c r="D82" s="17" t="s">
        <v>177</v>
      </c>
      <c r="E82" s="29" t="s">
        <v>179</v>
      </c>
      <c r="F82" s="17" t="s">
        <v>1627</v>
      </c>
      <c r="G82" s="17" t="s">
        <v>1091</v>
      </c>
      <c r="H82" s="17" t="s">
        <v>1102</v>
      </c>
      <c r="I82" s="30">
        <v>3.9</v>
      </c>
      <c r="J82" s="30">
        <v>4.2</v>
      </c>
      <c r="K82" s="30">
        <v>4.4000000000000004</v>
      </c>
      <c r="L82" s="30">
        <v>4.5999999999999996</v>
      </c>
      <c r="M82" s="30">
        <v>5</v>
      </c>
      <c r="N82" s="30">
        <v>5.3</v>
      </c>
    </row>
    <row r="83" spans="4:14" x14ac:dyDescent="0.35">
      <c r="D83" s="17" t="s">
        <v>177</v>
      </c>
      <c r="E83" s="29" t="s">
        <v>179</v>
      </c>
      <c r="F83" s="17" t="s">
        <v>1628</v>
      </c>
      <c r="G83" s="17" t="s">
        <v>1536</v>
      </c>
      <c r="H83" s="17" t="s">
        <v>1102</v>
      </c>
      <c r="I83" s="30">
        <v>3.9</v>
      </c>
      <c r="J83" s="30">
        <v>4</v>
      </c>
      <c r="K83" s="30">
        <v>4.2</v>
      </c>
      <c r="L83" s="30">
        <v>4.4000000000000004</v>
      </c>
      <c r="M83" s="30">
        <v>4.7</v>
      </c>
      <c r="N83" s="30">
        <v>4.8</v>
      </c>
    </row>
    <row r="84" spans="4:14" hidden="1" x14ac:dyDescent="0.35">
      <c r="D84" s="17" t="s">
        <v>177</v>
      </c>
      <c r="E84" s="29" t="s">
        <v>179</v>
      </c>
      <c r="F84" s="17" t="s">
        <v>1629</v>
      </c>
      <c r="G84" s="17" t="s">
        <v>1535</v>
      </c>
      <c r="H84" s="17" t="s">
        <v>1102</v>
      </c>
      <c r="I84" s="30">
        <v>2.6</v>
      </c>
      <c r="J84" s="30">
        <v>2.7</v>
      </c>
      <c r="K84" s="30">
        <v>2.8</v>
      </c>
      <c r="L84" s="30">
        <v>2.9</v>
      </c>
      <c r="M84" s="30">
        <v>3</v>
      </c>
      <c r="N84" s="30">
        <v>3.1</v>
      </c>
    </row>
    <row r="85" spans="4:14" hidden="1" x14ac:dyDescent="0.35">
      <c r="D85" s="17" t="s">
        <v>177</v>
      </c>
      <c r="E85" s="29" t="s">
        <v>179</v>
      </c>
      <c r="F85" s="17" t="s">
        <v>1112</v>
      </c>
      <c r="G85" s="17" t="s">
        <v>1090</v>
      </c>
      <c r="H85" s="17" t="s">
        <v>1102</v>
      </c>
      <c r="I85" s="30">
        <v>3.9</v>
      </c>
      <c r="J85" s="30">
        <v>4</v>
      </c>
      <c r="K85" s="30">
        <v>3.8</v>
      </c>
      <c r="L85" s="30">
        <v>3.6</v>
      </c>
      <c r="M85" s="30">
        <v>3.2</v>
      </c>
      <c r="N85" s="30">
        <v>2.8</v>
      </c>
    </row>
    <row r="86" spans="4:14" hidden="1" x14ac:dyDescent="0.35">
      <c r="D86" s="17" t="s">
        <v>177</v>
      </c>
      <c r="E86" s="29" t="s">
        <v>179</v>
      </c>
      <c r="F86" s="17" t="s">
        <v>1630</v>
      </c>
      <c r="G86" s="17" t="s">
        <v>1599</v>
      </c>
      <c r="H86" s="17" t="s">
        <v>1102</v>
      </c>
      <c r="I86" s="30">
        <v>1.6</v>
      </c>
      <c r="J86" s="30">
        <v>1.7</v>
      </c>
      <c r="K86" s="30">
        <v>1.9</v>
      </c>
      <c r="L86" s="30">
        <v>2</v>
      </c>
      <c r="M86" s="30">
        <v>2.1</v>
      </c>
      <c r="N86" s="30">
        <v>2.2000000000000002</v>
      </c>
    </row>
    <row r="87" spans="4:14" hidden="1" x14ac:dyDescent="0.35">
      <c r="D87" s="17" t="s">
        <v>177</v>
      </c>
      <c r="E87" s="29" t="s">
        <v>179</v>
      </c>
      <c r="F87" s="17" t="s">
        <v>1631</v>
      </c>
      <c r="G87" s="17" t="s">
        <v>1600</v>
      </c>
      <c r="H87" s="17" t="s">
        <v>1102</v>
      </c>
      <c r="I87" s="30">
        <v>1.2</v>
      </c>
      <c r="J87" s="30">
        <v>1.3</v>
      </c>
      <c r="K87" s="30">
        <v>1.3</v>
      </c>
      <c r="L87" s="30">
        <v>1.4</v>
      </c>
      <c r="M87" s="30">
        <v>1.5</v>
      </c>
      <c r="N87" s="30">
        <v>1.5</v>
      </c>
    </row>
    <row r="88" spans="4:14" hidden="1" x14ac:dyDescent="0.35">
      <c r="D88" s="17" t="s">
        <v>177</v>
      </c>
      <c r="E88" s="29" t="s">
        <v>179</v>
      </c>
      <c r="F88" s="17" t="s">
        <v>1632</v>
      </c>
      <c r="G88" s="17" t="s">
        <v>1601</v>
      </c>
      <c r="H88" s="17" t="s">
        <v>1102</v>
      </c>
      <c r="I88" s="30">
        <v>1</v>
      </c>
      <c r="J88" s="30">
        <v>1.1000000000000001</v>
      </c>
      <c r="K88" s="30">
        <v>1.1000000000000001</v>
      </c>
      <c r="L88" s="30">
        <v>1.2</v>
      </c>
      <c r="M88" s="30">
        <v>1.3</v>
      </c>
      <c r="N88" s="30">
        <v>1.4</v>
      </c>
    </row>
    <row r="89" spans="4:14" hidden="1" x14ac:dyDescent="0.35">
      <c r="D89" s="17" t="s">
        <v>177</v>
      </c>
      <c r="E89" s="29" t="s">
        <v>179</v>
      </c>
      <c r="F89" s="17" t="s">
        <v>1633</v>
      </c>
      <c r="G89" s="17" t="s">
        <v>1602</v>
      </c>
      <c r="H89" s="17" t="s">
        <v>1102</v>
      </c>
      <c r="I89" s="30">
        <v>0.2</v>
      </c>
      <c r="J89" s="30">
        <v>0.4</v>
      </c>
      <c r="K89" s="30">
        <v>0.5</v>
      </c>
      <c r="L89" s="30">
        <v>0.7</v>
      </c>
      <c r="M89" s="30">
        <v>0.8</v>
      </c>
      <c r="N89" s="30">
        <v>1</v>
      </c>
    </row>
    <row r="90" spans="4:14" hidden="1" x14ac:dyDescent="0.35">
      <c r="D90" s="17" t="s">
        <v>177</v>
      </c>
      <c r="E90" s="29" t="s">
        <v>179</v>
      </c>
      <c r="F90" s="17" t="s">
        <v>1115</v>
      </c>
      <c r="G90" s="17" t="s">
        <v>1092</v>
      </c>
      <c r="H90" s="17" t="s">
        <v>1102</v>
      </c>
      <c r="I90" s="30">
        <v>2.1</v>
      </c>
      <c r="J90" s="30">
        <v>2.2999999999999998</v>
      </c>
      <c r="K90" s="30">
        <v>2.4</v>
      </c>
      <c r="L90" s="30">
        <v>2.6</v>
      </c>
      <c r="M90" s="30">
        <v>2</v>
      </c>
      <c r="N90" s="30">
        <v>0.7</v>
      </c>
    </row>
    <row r="91" spans="4:14" hidden="1" x14ac:dyDescent="0.35">
      <c r="D91" s="17" t="s">
        <v>177</v>
      </c>
      <c r="E91" s="29" t="s">
        <v>179</v>
      </c>
      <c r="F91" s="17" t="s">
        <v>1634</v>
      </c>
      <c r="G91" s="17" t="s">
        <v>1089</v>
      </c>
      <c r="H91" s="17" t="s">
        <v>1102</v>
      </c>
      <c r="I91" s="30">
        <v>0.8</v>
      </c>
      <c r="J91" s="30">
        <v>0.9</v>
      </c>
      <c r="K91" s="30">
        <v>0.9</v>
      </c>
      <c r="L91" s="30">
        <v>0.8</v>
      </c>
      <c r="M91" s="30">
        <v>0.7</v>
      </c>
      <c r="N91" s="30">
        <v>0.7</v>
      </c>
    </row>
    <row r="92" spans="4:14" hidden="1" x14ac:dyDescent="0.35">
      <c r="D92" s="17" t="s">
        <v>177</v>
      </c>
      <c r="E92" s="29" t="s">
        <v>179</v>
      </c>
      <c r="F92" s="17" t="s">
        <v>1635</v>
      </c>
      <c r="G92" s="17" t="s">
        <v>1603</v>
      </c>
      <c r="H92" s="17" t="s">
        <v>1102</v>
      </c>
      <c r="I92" s="30">
        <v>0.3</v>
      </c>
      <c r="J92" s="30">
        <v>0.4</v>
      </c>
      <c r="K92" s="30">
        <v>0.5</v>
      </c>
      <c r="L92" s="30">
        <v>0.6</v>
      </c>
      <c r="M92" s="30">
        <v>0.6</v>
      </c>
      <c r="N92" s="30">
        <v>0.7</v>
      </c>
    </row>
    <row r="93" spans="4:14" hidden="1" x14ac:dyDescent="0.35">
      <c r="D93" s="17" t="s">
        <v>177</v>
      </c>
      <c r="E93" s="29" t="s">
        <v>179</v>
      </c>
      <c r="F93" s="17" t="s">
        <v>1636</v>
      </c>
      <c r="G93" s="17" t="s">
        <v>1604</v>
      </c>
      <c r="H93" s="17" t="s">
        <v>1102</v>
      </c>
      <c r="I93" s="20" t="s">
        <v>202</v>
      </c>
      <c r="J93" s="20" t="s">
        <v>202</v>
      </c>
      <c r="K93" s="20" t="s">
        <v>202</v>
      </c>
      <c r="L93" s="20" t="s">
        <v>202</v>
      </c>
      <c r="M93" s="20" t="s">
        <v>202</v>
      </c>
      <c r="N93" s="20" t="s">
        <v>202</v>
      </c>
    </row>
    <row r="94" spans="4:14" hidden="1" x14ac:dyDescent="0.35">
      <c r="D94" s="17" t="s">
        <v>177</v>
      </c>
      <c r="E94" s="29" t="s">
        <v>179</v>
      </c>
      <c r="F94" s="17" t="s">
        <v>1637</v>
      </c>
      <c r="G94" s="17" t="s">
        <v>1090</v>
      </c>
      <c r="H94" s="17" t="s">
        <v>1102</v>
      </c>
      <c r="I94" s="30">
        <v>0.1</v>
      </c>
      <c r="J94" s="30">
        <v>0.1</v>
      </c>
      <c r="K94" s="30">
        <v>0.1</v>
      </c>
      <c r="L94" s="20" t="s">
        <v>202</v>
      </c>
      <c r="M94" s="20" t="s">
        <v>202</v>
      </c>
      <c r="N94" s="20" t="s">
        <v>202</v>
      </c>
    </row>
    <row r="95" spans="4:14" hidden="1" x14ac:dyDescent="0.35">
      <c r="D95" s="17" t="s">
        <v>177</v>
      </c>
      <c r="E95" s="29" t="s">
        <v>179</v>
      </c>
      <c r="F95" s="17" t="s">
        <v>1638</v>
      </c>
      <c r="G95" s="17" t="s">
        <v>1535</v>
      </c>
      <c r="H95" s="17" t="s">
        <v>1102</v>
      </c>
      <c r="I95" s="20" t="s">
        <v>202</v>
      </c>
      <c r="J95" s="20" t="s">
        <v>202</v>
      </c>
      <c r="K95" s="20" t="s">
        <v>202</v>
      </c>
      <c r="L95" s="20" t="s">
        <v>202</v>
      </c>
      <c r="M95" s="20" t="s">
        <v>202</v>
      </c>
      <c r="N95" s="20" t="s">
        <v>202</v>
      </c>
    </row>
    <row r="96" spans="4:14" hidden="1" x14ac:dyDescent="0.35">
      <c r="D96" s="17" t="s">
        <v>177</v>
      </c>
      <c r="E96" s="29" t="s">
        <v>179</v>
      </c>
      <c r="F96" s="17" t="s">
        <v>1639</v>
      </c>
      <c r="G96" s="17" t="s">
        <v>1535</v>
      </c>
      <c r="H96" s="17" t="s">
        <v>1102</v>
      </c>
      <c r="I96" s="20" t="s">
        <v>202</v>
      </c>
      <c r="J96" s="20" t="s">
        <v>202</v>
      </c>
      <c r="K96" s="20" t="s">
        <v>202</v>
      </c>
      <c r="L96" s="20" t="s">
        <v>202</v>
      </c>
      <c r="M96" s="20" t="s">
        <v>202</v>
      </c>
      <c r="N96" s="20" t="s">
        <v>202</v>
      </c>
    </row>
    <row r="97" spans="4:14" x14ac:dyDescent="0.35">
      <c r="D97" s="17" t="s">
        <v>177</v>
      </c>
      <c r="E97" s="29" t="s">
        <v>179</v>
      </c>
      <c r="F97" s="17" t="s">
        <v>1640</v>
      </c>
      <c r="G97" s="17" t="s">
        <v>1536</v>
      </c>
      <c r="H97" s="17" t="s">
        <v>1102</v>
      </c>
      <c r="I97" s="20" t="s">
        <v>202</v>
      </c>
      <c r="J97" s="20" t="s">
        <v>202</v>
      </c>
      <c r="K97" s="20" t="s">
        <v>202</v>
      </c>
      <c r="L97" s="20" t="s">
        <v>202</v>
      </c>
      <c r="M97" s="20" t="s">
        <v>202</v>
      </c>
      <c r="N97" s="20" t="s">
        <v>202</v>
      </c>
    </row>
    <row r="98" spans="4:14" x14ac:dyDescent="0.35">
      <c r="D98" s="17" t="s">
        <v>177</v>
      </c>
      <c r="E98" s="29" t="s">
        <v>179</v>
      </c>
      <c r="F98" s="17" t="s">
        <v>1641</v>
      </c>
      <c r="G98" s="17" t="s">
        <v>1091</v>
      </c>
      <c r="H98" s="17" t="s">
        <v>1102</v>
      </c>
      <c r="I98" s="30">
        <v>0.7</v>
      </c>
      <c r="J98" s="30">
        <v>0.7</v>
      </c>
      <c r="K98" s="30">
        <v>0.3</v>
      </c>
      <c r="L98" s="30">
        <v>0</v>
      </c>
      <c r="M98" s="20" t="s">
        <v>202</v>
      </c>
      <c r="N98" s="20" t="s">
        <v>202</v>
      </c>
    </row>
    <row r="99" spans="4:14" x14ac:dyDescent="0.35">
      <c r="D99" s="17" t="s">
        <v>177</v>
      </c>
      <c r="E99" s="29" t="s">
        <v>179</v>
      </c>
      <c r="F99" s="17" t="s">
        <v>1642</v>
      </c>
      <c r="G99" s="17" t="s">
        <v>1091</v>
      </c>
      <c r="H99" s="17" t="s">
        <v>1102</v>
      </c>
      <c r="I99" s="20" t="s">
        <v>202</v>
      </c>
      <c r="J99" s="20" t="s">
        <v>202</v>
      </c>
      <c r="K99" s="20" t="s">
        <v>202</v>
      </c>
      <c r="L99" s="20" t="s">
        <v>202</v>
      </c>
      <c r="M99" s="20" t="s">
        <v>202</v>
      </c>
      <c r="N99" s="20" t="s">
        <v>202</v>
      </c>
    </row>
    <row r="100" spans="4:14" hidden="1" x14ac:dyDescent="0.35">
      <c r="D100" s="17" t="s">
        <v>177</v>
      </c>
      <c r="E100" s="29" t="s">
        <v>179</v>
      </c>
      <c r="F100" s="17" t="s">
        <v>130</v>
      </c>
      <c r="G100" s="17" t="s">
        <v>130</v>
      </c>
      <c r="H100" s="17" t="s">
        <v>1102</v>
      </c>
      <c r="I100" s="30">
        <v>7.6</v>
      </c>
      <c r="J100" s="30">
        <v>7.5</v>
      </c>
      <c r="K100" s="30">
        <v>8.1999999999999993</v>
      </c>
      <c r="L100" s="30">
        <v>8.5</v>
      </c>
      <c r="M100" s="30">
        <v>9.1999999999999993</v>
      </c>
      <c r="N100" s="30">
        <v>9.6999999999999993</v>
      </c>
    </row>
    <row r="101" spans="4:14" hidden="1" x14ac:dyDescent="0.35">
      <c r="D101" s="17" t="s">
        <v>177</v>
      </c>
      <c r="E101" s="29" t="s">
        <v>179</v>
      </c>
      <c r="F101" s="17" t="s">
        <v>31</v>
      </c>
      <c r="G101" s="17" t="s">
        <v>31</v>
      </c>
      <c r="H101" s="17" t="s">
        <v>1102</v>
      </c>
      <c r="I101" s="30">
        <v>100</v>
      </c>
      <c r="J101" s="30">
        <v>100</v>
      </c>
      <c r="K101" s="30">
        <v>100</v>
      </c>
      <c r="L101" s="30">
        <v>100</v>
      </c>
      <c r="M101" s="30">
        <v>100</v>
      </c>
      <c r="N101" s="30">
        <v>100</v>
      </c>
    </row>
    <row r="103" spans="4:14" x14ac:dyDescent="0.35">
      <c r="D103" s="33" t="s">
        <v>1093</v>
      </c>
      <c r="E103" s="27"/>
      <c r="F103" s="27"/>
      <c r="G103" s="27"/>
      <c r="H103" s="27"/>
      <c r="I103" s="1" t="s">
        <v>1083</v>
      </c>
      <c r="J103" s="1" t="s">
        <v>1084</v>
      </c>
      <c r="K103" s="1" t="s">
        <v>1085</v>
      </c>
      <c r="L103" s="1" t="s">
        <v>1086</v>
      </c>
      <c r="M103" s="1" t="s">
        <v>1087</v>
      </c>
      <c r="N103" s="27"/>
    </row>
    <row r="104" spans="4:14" x14ac:dyDescent="0.35">
      <c r="D104" s="28" t="s">
        <v>1094</v>
      </c>
      <c r="E104" s="27"/>
      <c r="F104" s="27"/>
      <c r="G104" s="556" t="str">
        <f>G91</f>
        <v>Vietnam Dairy Products JSC (Vinamilk)</v>
      </c>
      <c r="H104" s="27" t="str">
        <f>F74</f>
        <v>Dielac</v>
      </c>
      <c r="I104" s="127">
        <f>I74*I70/100</f>
        <v>5732.3377</v>
      </c>
      <c r="J104" s="127">
        <f>J74*J70/100</f>
        <v>5588.3229999999994</v>
      </c>
      <c r="K104" s="127">
        <f>K74*K70/100</f>
        <v>5094.0273999999999</v>
      </c>
      <c r="L104" s="127">
        <f>L74*L70/100</f>
        <v>4384.692</v>
      </c>
      <c r="M104" s="127">
        <f>M74*M70/100</f>
        <v>3700.6452000000004</v>
      </c>
      <c r="N104" s="27"/>
    </row>
    <row r="105" spans="4:14" x14ac:dyDescent="0.35">
      <c r="G105" s="556"/>
      <c r="H105" s="27" t="str">
        <f>F77</f>
        <v>Ridielac</v>
      </c>
      <c r="I105" s="127">
        <f>I77*I70/100</f>
        <v>2153.7685000000001</v>
      </c>
      <c r="J105" s="127">
        <f>J77*J70/100</f>
        <v>2215.489</v>
      </c>
      <c r="K105" s="127">
        <f>K77*K70/100</f>
        <v>2282.3888999999999</v>
      </c>
      <c r="L105" s="127">
        <f>L77*L70/100</f>
        <v>2338.5024000000003</v>
      </c>
      <c r="M105" s="127">
        <f>M77*M70/100</f>
        <v>2532.0203999999999</v>
      </c>
    </row>
    <row r="106" spans="4:14" x14ac:dyDescent="0.35">
      <c r="D106" s="28" t="s">
        <v>1643</v>
      </c>
      <c r="E106" s="27"/>
      <c r="F106" s="27"/>
      <c r="G106" s="556"/>
      <c r="H106" s="27" t="str">
        <f>F91</f>
        <v>Optimum Gold</v>
      </c>
      <c r="I106" s="127">
        <f>I91*I70/100</f>
        <v>265.07920000000001</v>
      </c>
      <c r="J106" s="127">
        <f>J91*J70/100</f>
        <v>297.60300000000001</v>
      </c>
      <c r="K106" s="127">
        <f>K91*K70/100</f>
        <v>297.7029</v>
      </c>
      <c r="L106" s="127">
        <f>L91*L70/100</f>
        <v>259.83359999999999</v>
      </c>
      <c r="M106" s="127">
        <f>M91*M70/100</f>
        <v>227.23259999999999</v>
      </c>
      <c r="N106" s="27"/>
    </row>
    <row r="107" spans="4:14" x14ac:dyDescent="0.35">
      <c r="D107" s="28" t="s">
        <v>1096</v>
      </c>
      <c r="E107" s="27"/>
      <c r="F107" s="27"/>
      <c r="G107" s="556" t="str">
        <f>G97</f>
        <v>Abbott Vietnam Co Ltd</v>
      </c>
      <c r="H107" s="17" t="s">
        <v>1620</v>
      </c>
      <c r="I107" s="127">
        <f>I75*I70/100</f>
        <v>2717.0617999999999</v>
      </c>
      <c r="J107" s="127">
        <f>J75*J70/100</f>
        <v>2810.6950000000002</v>
      </c>
      <c r="K107" s="127">
        <f>K75*K70/100</f>
        <v>2943.9509000000003</v>
      </c>
      <c r="L107" s="127">
        <f>L75*L70/100</f>
        <v>3085.5240000000003</v>
      </c>
      <c r="M107" s="127">
        <f>M75*M70/100</f>
        <v>3246.18</v>
      </c>
      <c r="N107" s="27"/>
    </row>
    <row r="108" spans="4:14" x14ac:dyDescent="0.35">
      <c r="G108" s="556"/>
      <c r="H108" s="17" t="s">
        <v>1623</v>
      </c>
      <c r="I108" s="127">
        <f>I78*I70/100</f>
        <v>2021.2288999999998</v>
      </c>
      <c r="J108" s="127">
        <f>J78*J70/100</f>
        <v>2116.288</v>
      </c>
      <c r="K108" s="127">
        <f>K78*K70/100</f>
        <v>2249.3107999999997</v>
      </c>
      <c r="L108" s="127">
        <f>L78*L70/100</f>
        <v>2338.5024000000003</v>
      </c>
      <c r="M108" s="127">
        <f>M78*M70/100</f>
        <v>2499.5585999999998</v>
      </c>
    </row>
    <row r="109" spans="4:14" x14ac:dyDescent="0.35">
      <c r="G109" s="556"/>
      <c r="H109" s="17" t="s">
        <v>1628</v>
      </c>
      <c r="I109" s="127">
        <f>I83*I70/100</f>
        <v>1292.2610999999999</v>
      </c>
      <c r="J109" s="127">
        <f>J83*J70/100</f>
        <v>1322.68</v>
      </c>
      <c r="K109" s="127">
        <f>K83*K70/100</f>
        <v>1389.2801999999999</v>
      </c>
      <c r="L109" s="127">
        <f>L83*L70/100</f>
        <v>1429.0848000000001</v>
      </c>
      <c r="M109" s="127">
        <f>M83*M70/100</f>
        <v>1525.7046</v>
      </c>
    </row>
    <row r="110" spans="4:14" x14ac:dyDescent="0.35">
      <c r="G110" s="556" t="s">
        <v>1091</v>
      </c>
      <c r="H110" s="22" t="s">
        <v>1621</v>
      </c>
      <c r="I110" s="127">
        <f>I76*I70/100</f>
        <v>2220.0383000000002</v>
      </c>
      <c r="J110" s="127">
        <f>J76*J70/100</f>
        <v>2314.69</v>
      </c>
      <c r="K110" s="127">
        <f>K76*K70/100</f>
        <v>2447.7793999999999</v>
      </c>
      <c r="L110" s="127">
        <f>L76*L70/100</f>
        <v>2598.3360000000002</v>
      </c>
      <c r="M110" s="127">
        <f>M76*M70/100</f>
        <v>2791.7147999999997</v>
      </c>
    </row>
    <row r="111" spans="4:14" x14ac:dyDescent="0.35">
      <c r="G111" s="556"/>
      <c r="H111" s="22" t="s">
        <v>1627</v>
      </c>
      <c r="I111" s="127">
        <f>I82*I70/100</f>
        <v>1292.2610999999999</v>
      </c>
      <c r="J111" s="127">
        <f>J82*J70/100</f>
        <v>1388.8139999999999</v>
      </c>
      <c r="K111" s="127">
        <f>K82*K70/100</f>
        <v>1455.4364</v>
      </c>
      <c r="L111" s="127">
        <f>L82*L70/100</f>
        <v>1494.0431999999998</v>
      </c>
      <c r="M111" s="127">
        <f>M82*M70/100</f>
        <v>1623.09</v>
      </c>
    </row>
    <row r="112" spans="4:14" x14ac:dyDescent="0.35">
      <c r="G112" s="556"/>
      <c r="H112" s="22" t="s">
        <v>1641</v>
      </c>
      <c r="I112" s="127">
        <f>I98*I70/100</f>
        <v>231.9443</v>
      </c>
      <c r="J112" s="127">
        <f>J98*J70/100</f>
        <v>231.46899999999997</v>
      </c>
      <c r="K112" s="127">
        <f>K98*K70/100</f>
        <v>99.23429999999999</v>
      </c>
      <c r="L112" s="127">
        <f>L98*L70/100</f>
        <v>0</v>
      </c>
      <c r="M112" s="127" t="e">
        <f>M98*M70/100</f>
        <v>#VALUE!</v>
      </c>
    </row>
    <row r="115" spans="11:13" x14ac:dyDescent="0.35">
      <c r="K115">
        <f>(M104-K104)/K104</f>
        <v>-0.27353252948737566</v>
      </c>
    </row>
    <row r="116" spans="11:13" x14ac:dyDescent="0.35">
      <c r="K116">
        <f t="shared" ref="K116:K117" si="13">(M105-K105)/K105</f>
        <v>0.10937290310165808</v>
      </c>
    </row>
    <row r="117" spans="11:13" x14ac:dyDescent="0.35">
      <c r="K117">
        <f t="shared" si="13"/>
        <v>-0.23671351538732074</v>
      </c>
    </row>
    <row r="119" spans="11:13" x14ac:dyDescent="0.35">
      <c r="K119" s="1" t="s">
        <v>1085</v>
      </c>
      <c r="L119" s="1" t="s">
        <v>1086</v>
      </c>
      <c r="M119" s="1" t="s">
        <v>1087</v>
      </c>
    </row>
    <row r="120" spans="11:13" x14ac:dyDescent="0.35">
      <c r="K120" s="95">
        <f>SUM(K104:K106)</f>
        <v>7674.1192000000001</v>
      </c>
      <c r="L120" s="95">
        <f t="shared" ref="L120:M120" si="14">SUM(L104:L106)</f>
        <v>6983.0280000000002</v>
      </c>
      <c r="M120" s="95">
        <f t="shared" si="14"/>
        <v>6459.8982000000005</v>
      </c>
    </row>
    <row r="138" spans="4:9" x14ac:dyDescent="0.35">
      <c r="E138" s="1" t="s">
        <v>1083</v>
      </c>
      <c r="F138" s="1" t="s">
        <v>1084</v>
      </c>
      <c r="G138" s="1" t="s">
        <v>1085</v>
      </c>
      <c r="H138" s="1" t="s">
        <v>1086</v>
      </c>
      <c r="I138" s="1" t="s">
        <v>1087</v>
      </c>
    </row>
    <row r="139" spans="4:9" x14ac:dyDescent="0.35">
      <c r="D139" t="s">
        <v>1594</v>
      </c>
      <c r="E139" s="30">
        <v>33134.9</v>
      </c>
      <c r="F139" s="30">
        <v>33067</v>
      </c>
      <c r="G139" s="30">
        <v>33078.1</v>
      </c>
      <c r="H139" s="30">
        <v>32479.200000000001</v>
      </c>
      <c r="I139" s="30">
        <v>32461.8</v>
      </c>
    </row>
    <row r="140" spans="4:9" x14ac:dyDescent="0.35">
      <c r="D140" t="s">
        <v>1089</v>
      </c>
      <c r="E140">
        <v>8118.0505000000003</v>
      </c>
      <c r="F140">
        <v>8068.347999999999</v>
      </c>
      <c r="G140">
        <v>7674.1191999999992</v>
      </c>
      <c r="H140">
        <v>6983.0280000000002</v>
      </c>
      <c r="I140">
        <v>6459.8981999999996</v>
      </c>
    </row>
    <row r="143" spans="4:9" x14ac:dyDescent="0.35">
      <c r="E143" s="84">
        <f>_xlfn.RRI(4,E139,I139)</f>
        <v>-5.1176336049030269E-3</v>
      </c>
    </row>
    <row r="144" spans="4:9" x14ac:dyDescent="0.35">
      <c r="E144" s="84">
        <f>_xlfn.RRI(4,E140,I140)</f>
        <v>-5.5518443974043152E-2</v>
      </c>
    </row>
  </sheetData>
  <autoFilter ref="E73:N101" xr:uid="{2B1BDD40-8177-4E66-A4A2-625F9AAD54B2}">
    <filterColumn colId="2">
      <filters>
        <filter val="Abbott Vietnam Co Ltd"/>
        <filter val="Nestlé Vietnam Co Ltd"/>
      </filters>
    </filterColumn>
  </autoFilter>
  <mergeCells count="3">
    <mergeCell ref="G104:G106"/>
    <mergeCell ref="G107:G109"/>
    <mergeCell ref="G110:G112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71EB-CDDF-49B6-A762-0D0CB3786B5B}">
  <dimension ref="E3:G15"/>
  <sheetViews>
    <sheetView workbookViewId="0">
      <selection activeCell="G12" sqref="G12"/>
    </sheetView>
  </sheetViews>
  <sheetFormatPr defaultRowHeight="14.5" x14ac:dyDescent="0.35"/>
  <cols>
    <col min="5" max="5" width="21.81640625" customWidth="1"/>
    <col min="6" max="6" width="15.7265625" customWidth="1"/>
    <col min="7" max="7" width="19.54296875" customWidth="1"/>
  </cols>
  <sheetData>
    <row r="3" spans="5:7" x14ac:dyDescent="0.35">
      <c r="E3" s="554" t="s">
        <v>1644</v>
      </c>
      <c r="F3" s="554"/>
      <c r="G3" s="554"/>
    </row>
    <row r="4" spans="5:7" x14ac:dyDescent="0.35">
      <c r="E4" s="554" t="s">
        <v>1645</v>
      </c>
      <c r="F4" s="554"/>
      <c r="G4" s="133"/>
    </row>
    <row r="5" spans="5:7" x14ac:dyDescent="0.35">
      <c r="E5" s="554" t="s">
        <v>1646</v>
      </c>
      <c r="F5" s="554"/>
      <c r="G5" s="133" t="s">
        <v>1647</v>
      </c>
    </row>
    <row r="6" spans="5:7" x14ac:dyDescent="0.35">
      <c r="E6" s="554" t="s">
        <v>1648</v>
      </c>
      <c r="F6" s="554"/>
      <c r="G6" s="456">
        <v>667160</v>
      </c>
    </row>
    <row r="7" spans="5:7" x14ac:dyDescent="0.35">
      <c r="E7" s="554" t="s">
        <v>112</v>
      </c>
      <c r="F7" s="554"/>
      <c r="G7" s="133"/>
    </row>
    <row r="8" spans="5:7" x14ac:dyDescent="0.35">
      <c r="E8" s="554" t="s">
        <v>1649</v>
      </c>
      <c r="F8" s="554"/>
      <c r="G8" s="133"/>
    </row>
    <row r="9" spans="5:7" x14ac:dyDescent="0.35">
      <c r="E9" s="554" t="s">
        <v>1650</v>
      </c>
      <c r="F9" s="554"/>
      <c r="G9" s="554"/>
    </row>
    <row r="10" spans="5:7" x14ac:dyDescent="0.35">
      <c r="E10" s="133" t="s">
        <v>1651</v>
      </c>
      <c r="F10" s="133" t="s">
        <v>1652</v>
      </c>
      <c r="G10" s="133" t="s">
        <v>1653</v>
      </c>
    </row>
    <row r="11" spans="5:7" x14ac:dyDescent="0.35">
      <c r="E11" s="133" t="s">
        <v>108</v>
      </c>
    </row>
    <row r="12" spans="5:7" x14ac:dyDescent="0.35">
      <c r="E12" s="133" t="s">
        <v>1153</v>
      </c>
    </row>
    <row r="13" spans="5:7" x14ac:dyDescent="0.35">
      <c r="E13" s="554" t="s">
        <v>1654</v>
      </c>
      <c r="F13" s="554"/>
    </row>
    <row r="14" spans="5:7" x14ac:dyDescent="0.35">
      <c r="E14" s="554" t="s">
        <v>1655</v>
      </c>
      <c r="F14" s="554"/>
    </row>
    <row r="15" spans="5:7" x14ac:dyDescent="0.35">
      <c r="E15" s="554" t="s">
        <v>1656</v>
      </c>
      <c r="F15" s="554"/>
    </row>
  </sheetData>
  <mergeCells count="10">
    <mergeCell ref="E3:G3"/>
    <mergeCell ref="E4:F4"/>
    <mergeCell ref="E5:F5"/>
    <mergeCell ref="E6:F6"/>
    <mergeCell ref="E7:F7"/>
    <mergeCell ref="E8:F8"/>
    <mergeCell ref="E9:G9"/>
    <mergeCell ref="E13:F13"/>
    <mergeCell ref="E14:F14"/>
    <mergeCell ref="E15:F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4540-4FB9-449F-8478-3BB7417162D0}">
  <dimension ref="A1:P34"/>
  <sheetViews>
    <sheetView topLeftCell="A19" zoomScale="40" zoomScaleNormal="40" workbookViewId="0">
      <selection activeCell="L23" sqref="L23"/>
    </sheetView>
  </sheetViews>
  <sheetFormatPr defaultRowHeight="14.5" x14ac:dyDescent="0.35"/>
  <cols>
    <col min="2" max="2" width="16.54296875" bestFit="1" customWidth="1"/>
    <col min="3" max="3" width="32.453125" bestFit="1" customWidth="1"/>
    <col min="12" max="12" width="32.453125" bestFit="1" customWidth="1"/>
  </cols>
  <sheetData>
    <row r="1" spans="1:13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3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3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3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3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13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  <c r="L6" s="1" t="s">
        <v>1082</v>
      </c>
      <c r="M6" s="1" t="s">
        <v>1088</v>
      </c>
    </row>
    <row r="7" spans="1:13" x14ac:dyDescent="0.35">
      <c r="A7" s="17" t="s">
        <v>177</v>
      </c>
      <c r="B7" s="29" t="s">
        <v>197</v>
      </c>
      <c r="C7" s="17" t="s">
        <v>1657</v>
      </c>
      <c r="D7" s="17" t="s">
        <v>1102</v>
      </c>
      <c r="E7" s="30">
        <v>59.7</v>
      </c>
      <c r="F7" s="30">
        <v>60.3</v>
      </c>
      <c r="G7" s="30">
        <v>57.9</v>
      </c>
      <c r="H7" s="30">
        <v>57.6</v>
      </c>
      <c r="I7" s="30">
        <v>57.6</v>
      </c>
      <c r="J7" s="30">
        <v>57.4</v>
      </c>
      <c r="L7" s="22" t="s">
        <v>1657</v>
      </c>
      <c r="M7" s="34">
        <v>57.4</v>
      </c>
    </row>
    <row r="8" spans="1:13" x14ac:dyDescent="0.35">
      <c r="A8" s="17" t="s">
        <v>177</v>
      </c>
      <c r="B8" s="29" t="s">
        <v>197</v>
      </c>
      <c r="C8" s="17" t="s">
        <v>1089</v>
      </c>
      <c r="D8" s="17" t="s">
        <v>1102</v>
      </c>
      <c r="E8" s="30">
        <v>15.2</v>
      </c>
      <c r="F8" s="30">
        <v>15.4</v>
      </c>
      <c r="G8" s="30">
        <v>16.399999999999999</v>
      </c>
      <c r="H8" s="30">
        <v>16.399999999999999</v>
      </c>
      <c r="I8" s="30">
        <v>15.9</v>
      </c>
      <c r="J8" s="30">
        <v>15.5</v>
      </c>
      <c r="L8" s="22" t="s">
        <v>1089</v>
      </c>
      <c r="M8" s="34">
        <v>15.5</v>
      </c>
    </row>
    <row r="9" spans="1:13" x14ac:dyDescent="0.35">
      <c r="A9" s="17" t="s">
        <v>177</v>
      </c>
      <c r="B9" s="29" t="s">
        <v>197</v>
      </c>
      <c r="C9" s="17" t="s">
        <v>1658</v>
      </c>
      <c r="D9" s="17" t="s">
        <v>1102</v>
      </c>
      <c r="E9" s="30">
        <v>5.3</v>
      </c>
      <c r="F9" s="30">
        <v>5.2</v>
      </c>
      <c r="G9" s="30">
        <v>5.7</v>
      </c>
      <c r="H9" s="30">
        <v>5.9</v>
      </c>
      <c r="I9" s="30">
        <v>5.8</v>
      </c>
      <c r="J9" s="30">
        <v>5.7</v>
      </c>
      <c r="L9" s="22" t="s">
        <v>1658</v>
      </c>
      <c r="M9" s="34">
        <v>5.7</v>
      </c>
    </row>
    <row r="10" spans="1:13" x14ac:dyDescent="0.35">
      <c r="A10" s="17" t="s">
        <v>177</v>
      </c>
      <c r="B10" s="29" t="s">
        <v>197</v>
      </c>
      <c r="C10" s="17" t="s">
        <v>1092</v>
      </c>
      <c r="D10" s="17" t="s">
        <v>1102</v>
      </c>
      <c r="E10" s="30">
        <v>5.6</v>
      </c>
      <c r="F10" s="30">
        <v>5.4</v>
      </c>
      <c r="G10" s="30">
        <v>6.1</v>
      </c>
      <c r="H10" s="30">
        <v>6</v>
      </c>
      <c r="I10" s="30">
        <v>5.9</v>
      </c>
      <c r="J10" s="30">
        <v>5.6</v>
      </c>
      <c r="L10" s="22" t="s">
        <v>1092</v>
      </c>
      <c r="M10" s="34">
        <v>5.6</v>
      </c>
    </row>
    <row r="11" spans="1:13" x14ac:dyDescent="0.35">
      <c r="A11" s="17" t="s">
        <v>177</v>
      </c>
      <c r="B11" s="29" t="s">
        <v>197</v>
      </c>
      <c r="C11" s="17" t="s">
        <v>1659</v>
      </c>
      <c r="D11" s="17" t="s">
        <v>1102</v>
      </c>
      <c r="E11" s="30">
        <v>6.5</v>
      </c>
      <c r="F11" s="30">
        <v>5.0999999999999996</v>
      </c>
      <c r="G11" s="30">
        <v>4.9000000000000004</v>
      </c>
      <c r="H11" s="30">
        <v>4.5</v>
      </c>
      <c r="I11" s="30">
        <v>4.3</v>
      </c>
      <c r="J11" s="30">
        <v>4.0999999999999996</v>
      </c>
      <c r="L11" s="22" t="s">
        <v>1659</v>
      </c>
      <c r="M11" s="34">
        <v>4.0999999999999996</v>
      </c>
    </row>
    <row r="12" spans="1:13" x14ac:dyDescent="0.35">
      <c r="A12" s="17" t="s">
        <v>177</v>
      </c>
      <c r="B12" s="29" t="s">
        <v>197</v>
      </c>
      <c r="C12" s="17" t="s">
        <v>1660</v>
      </c>
      <c r="D12" s="17" t="s">
        <v>1102</v>
      </c>
      <c r="E12" s="30">
        <v>0.7</v>
      </c>
      <c r="F12" s="30">
        <v>0.7</v>
      </c>
      <c r="G12" s="30">
        <v>0.8</v>
      </c>
      <c r="H12" s="30">
        <v>0.9</v>
      </c>
      <c r="I12" s="30">
        <v>0.9</v>
      </c>
      <c r="J12" s="30">
        <v>0.9</v>
      </c>
      <c r="L12" s="22" t="s">
        <v>130</v>
      </c>
      <c r="M12" s="34">
        <f>SUM(M13:M18)</f>
        <v>11.7</v>
      </c>
    </row>
    <row r="13" spans="1:13" x14ac:dyDescent="0.35">
      <c r="A13" s="17" t="s">
        <v>177</v>
      </c>
      <c r="B13" s="29" t="s">
        <v>197</v>
      </c>
      <c r="C13" s="17" t="s">
        <v>1661</v>
      </c>
      <c r="D13" s="17" t="s">
        <v>1102</v>
      </c>
      <c r="E13" s="30">
        <v>0.4</v>
      </c>
      <c r="F13" s="30">
        <v>0.4</v>
      </c>
      <c r="G13" s="30">
        <v>0.5</v>
      </c>
      <c r="H13" s="30">
        <v>0.5</v>
      </c>
      <c r="I13" s="30">
        <v>0.5</v>
      </c>
      <c r="J13" s="30">
        <v>0.5</v>
      </c>
      <c r="L13" s="17" t="s">
        <v>1660</v>
      </c>
      <c r="M13" s="30">
        <v>0.9</v>
      </c>
    </row>
    <row r="14" spans="1:13" x14ac:dyDescent="0.35">
      <c r="A14" s="17" t="s">
        <v>177</v>
      </c>
      <c r="B14" s="29" t="s">
        <v>197</v>
      </c>
      <c r="C14" s="17" t="s">
        <v>1662</v>
      </c>
      <c r="D14" s="17" t="s">
        <v>1102</v>
      </c>
      <c r="E14" s="30">
        <v>0.3</v>
      </c>
      <c r="F14" s="30">
        <v>0.3</v>
      </c>
      <c r="G14" s="30">
        <v>0.3</v>
      </c>
      <c r="H14" s="30">
        <v>0.3</v>
      </c>
      <c r="I14" s="30">
        <v>0.3</v>
      </c>
      <c r="J14" s="30">
        <v>0.3</v>
      </c>
      <c r="L14" s="17" t="s">
        <v>1661</v>
      </c>
      <c r="M14" s="30">
        <v>0.5</v>
      </c>
    </row>
    <row r="15" spans="1:13" x14ac:dyDescent="0.35">
      <c r="A15" s="17" t="s">
        <v>177</v>
      </c>
      <c r="B15" s="29" t="s">
        <v>197</v>
      </c>
      <c r="C15" s="17" t="s">
        <v>1663</v>
      </c>
      <c r="D15" s="17" t="s">
        <v>1102</v>
      </c>
      <c r="E15" s="30">
        <v>0.2</v>
      </c>
      <c r="F15" s="30">
        <v>0.2</v>
      </c>
      <c r="G15" s="30">
        <v>0.3</v>
      </c>
      <c r="H15" s="30">
        <v>0.3</v>
      </c>
      <c r="I15" s="30">
        <v>0.3</v>
      </c>
      <c r="J15" s="30">
        <v>0.3</v>
      </c>
      <c r="L15" s="17" t="s">
        <v>1662</v>
      </c>
      <c r="M15" s="30">
        <v>0.3</v>
      </c>
    </row>
    <row r="16" spans="1:13" x14ac:dyDescent="0.35">
      <c r="A16" s="17" t="s">
        <v>177</v>
      </c>
      <c r="B16" s="29" t="s">
        <v>197</v>
      </c>
      <c r="C16" s="17" t="s">
        <v>1664</v>
      </c>
      <c r="D16" s="17" t="s">
        <v>1102</v>
      </c>
      <c r="E16" s="30">
        <v>0.1</v>
      </c>
      <c r="F16" s="30">
        <v>0.1</v>
      </c>
      <c r="G16" s="30">
        <v>0.1</v>
      </c>
      <c r="H16" s="30">
        <v>0.1</v>
      </c>
      <c r="I16" s="30">
        <v>0.1</v>
      </c>
      <c r="J16" s="30">
        <v>0.1</v>
      </c>
      <c r="L16" s="17" t="s">
        <v>1663</v>
      </c>
      <c r="M16" s="30">
        <v>0.3</v>
      </c>
    </row>
    <row r="17" spans="1:16" x14ac:dyDescent="0.35">
      <c r="A17" s="17" t="s">
        <v>177</v>
      </c>
      <c r="B17" s="29" t="s">
        <v>197</v>
      </c>
      <c r="C17" s="17" t="s">
        <v>130</v>
      </c>
      <c r="D17" s="17" t="s">
        <v>1102</v>
      </c>
      <c r="E17" s="30">
        <v>5.9</v>
      </c>
      <c r="F17" s="30">
        <v>6.8</v>
      </c>
      <c r="G17" s="30">
        <v>7.1</v>
      </c>
      <c r="H17" s="30">
        <v>7.5</v>
      </c>
      <c r="I17" s="30">
        <v>8.4</v>
      </c>
      <c r="J17" s="30">
        <v>9.6</v>
      </c>
      <c r="L17" s="17" t="s">
        <v>1664</v>
      </c>
      <c r="M17" s="30">
        <v>0.1</v>
      </c>
    </row>
    <row r="18" spans="1:16" x14ac:dyDescent="0.35">
      <c r="A18" s="17" t="s">
        <v>177</v>
      </c>
      <c r="B18" s="29" t="s">
        <v>197</v>
      </c>
      <c r="C18" s="17" t="s">
        <v>31</v>
      </c>
      <c r="D18" s="17" t="s">
        <v>1102</v>
      </c>
      <c r="E18" s="30">
        <v>100</v>
      </c>
      <c r="F18" s="30">
        <v>100</v>
      </c>
      <c r="G18" s="30">
        <v>100</v>
      </c>
      <c r="H18" s="30">
        <v>100</v>
      </c>
      <c r="I18" s="30">
        <v>100</v>
      </c>
      <c r="J18" s="30">
        <v>100</v>
      </c>
      <c r="L18" s="17" t="s">
        <v>130</v>
      </c>
      <c r="M18" s="30">
        <v>9.6</v>
      </c>
    </row>
    <row r="19" spans="1:16" x14ac:dyDescent="0.35">
      <c r="L19" s="17" t="s">
        <v>31</v>
      </c>
      <c r="M19" s="30">
        <v>100</v>
      </c>
    </row>
    <row r="20" spans="1:16" x14ac:dyDescent="0.35">
      <c r="A20" s="33" t="s">
        <v>1093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6" x14ac:dyDescent="0.35">
      <c r="A21" s="28" t="s">
        <v>1094</v>
      </c>
      <c r="B21" s="27"/>
      <c r="C21" s="27"/>
      <c r="D21" s="27"/>
      <c r="E21" s="27"/>
      <c r="F21" s="27"/>
      <c r="G21" s="27"/>
      <c r="H21" s="27"/>
      <c r="I21" s="27"/>
      <c r="J21" s="27"/>
    </row>
    <row r="23" spans="1:16" x14ac:dyDescent="0.35">
      <c r="A23" s="28" t="s">
        <v>1665</v>
      </c>
      <c r="B23" s="27"/>
      <c r="C23" s="27"/>
      <c r="D23" s="27"/>
      <c r="E23" s="27"/>
      <c r="F23" s="27"/>
      <c r="G23" s="27"/>
      <c r="H23" s="27"/>
      <c r="I23" s="27"/>
      <c r="J23" s="27"/>
      <c r="M23">
        <f>SUM(M24:P24)/4</f>
        <v>5.1487386730200174E-2</v>
      </c>
    </row>
    <row r="24" spans="1:16" x14ac:dyDescent="0.35">
      <c r="A24" s="28" t="s">
        <v>1096</v>
      </c>
      <c r="B24" s="27"/>
      <c r="C24" s="27"/>
      <c r="D24" s="27"/>
      <c r="E24" s="27"/>
      <c r="F24" s="27"/>
      <c r="G24" s="27"/>
      <c r="H24" s="27"/>
      <c r="I24" s="27"/>
      <c r="J24" s="27"/>
      <c r="M24">
        <f>M25/L25-1</f>
        <v>5.9246118618051957E-2</v>
      </c>
      <c r="N24">
        <f>N25/M25-1</f>
        <v>0.12380912992874937</v>
      </c>
      <c r="O24">
        <f>O25/N25-1</f>
        <v>-5.6415289265409063E-3</v>
      </c>
      <c r="P24">
        <f>P25/O25-1</f>
        <v>2.8535827300540273E-2</v>
      </c>
    </row>
    <row r="25" spans="1:16" x14ac:dyDescent="0.35">
      <c r="E25">
        <f t="shared" ref="E25:J25" si="0">F7/E7-1</f>
        <v>1.0050251256281229E-2</v>
      </c>
      <c r="F25">
        <f t="shared" si="0"/>
        <v>-3.9800995024875552E-2</v>
      </c>
      <c r="G25">
        <f t="shared" si="0"/>
        <v>-5.1813471502589747E-3</v>
      </c>
      <c r="H25">
        <f t="shared" si="0"/>
        <v>0</v>
      </c>
      <c r="I25">
        <f t="shared" si="0"/>
        <v>-3.4722222222223209E-3</v>
      </c>
      <c r="J25">
        <f t="shared" si="0"/>
        <v>-1</v>
      </c>
      <c r="L25">
        <f>L26*L27/100</f>
        <v>659.70060000000001</v>
      </c>
      <c r="M25">
        <f>M26*M27/100</f>
        <v>698.78530000000001</v>
      </c>
      <c r="N25">
        <f>N26*N27/100</f>
        <v>785.30130000000008</v>
      </c>
      <c r="O25">
        <f>O26*O27/100</f>
        <v>780.87099999999987</v>
      </c>
      <c r="P25">
        <f>P26*P27/100</f>
        <v>803.15380000000005</v>
      </c>
    </row>
    <row r="26" spans="1:16" x14ac:dyDescent="0.35">
      <c r="E26" s="84">
        <f>AVERAGE(E25:I25)</f>
        <v>-7.6808626282151241E-3</v>
      </c>
      <c r="K26" t="s">
        <v>205</v>
      </c>
      <c r="L26">
        <v>8.3000000000000007</v>
      </c>
      <c r="M26">
        <v>8.3000000000000007</v>
      </c>
      <c r="N26">
        <v>9.3000000000000007</v>
      </c>
      <c r="O26">
        <v>9.1</v>
      </c>
      <c r="P26">
        <v>8.9</v>
      </c>
    </row>
    <row r="27" spans="1:16" x14ac:dyDescent="0.35">
      <c r="L27">
        <v>7948.2</v>
      </c>
      <c r="M27">
        <v>8419.0999999999985</v>
      </c>
      <c r="N27">
        <v>8444.1</v>
      </c>
      <c r="O27">
        <v>8581</v>
      </c>
      <c r="P27">
        <v>9024.2000000000007</v>
      </c>
    </row>
    <row r="31" spans="1:16" x14ac:dyDescent="0.35">
      <c r="L31">
        <v>2018</v>
      </c>
      <c r="M31">
        <v>2019</v>
      </c>
      <c r="N31">
        <v>2020</v>
      </c>
      <c r="O31">
        <v>2021</v>
      </c>
      <c r="P31">
        <v>2022</v>
      </c>
    </row>
    <row r="32" spans="1:16" x14ac:dyDescent="0.35">
      <c r="K32" t="s">
        <v>1666</v>
      </c>
      <c r="L32">
        <v>100</v>
      </c>
      <c r="M32">
        <v>120</v>
      </c>
      <c r="N32">
        <v>100</v>
      </c>
      <c r="O32">
        <v>175</v>
      </c>
      <c r="P32">
        <v>176</v>
      </c>
    </row>
    <row r="33" spans="11:16" x14ac:dyDescent="0.35">
      <c r="K33" t="s">
        <v>1667</v>
      </c>
      <c r="L33">
        <v>80</v>
      </c>
      <c r="M33">
        <v>80</v>
      </c>
      <c r="N33">
        <v>80</v>
      </c>
      <c r="O33">
        <v>155</v>
      </c>
      <c r="P33">
        <v>150</v>
      </c>
    </row>
    <row r="34" spans="11:16" x14ac:dyDescent="0.35">
      <c r="K34" t="s">
        <v>1668</v>
      </c>
      <c r="L34">
        <v>120</v>
      </c>
      <c r="M34">
        <v>120</v>
      </c>
      <c r="N34">
        <v>120</v>
      </c>
      <c r="O34">
        <v>152</v>
      </c>
      <c r="P34">
        <v>155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073D-8146-4C5D-9E83-D7F46B973D04}">
  <dimension ref="A1:H76"/>
  <sheetViews>
    <sheetView workbookViewId="0">
      <selection activeCell="E57" sqref="E57:G57"/>
    </sheetView>
  </sheetViews>
  <sheetFormatPr defaultRowHeight="14.5" x14ac:dyDescent="0.35"/>
  <cols>
    <col min="1" max="1" width="40.54296875" bestFit="1" customWidth="1"/>
    <col min="2" max="2" width="13.453125" bestFit="1" customWidth="1"/>
  </cols>
  <sheetData>
    <row r="1" spans="1:8" x14ac:dyDescent="0.35">
      <c r="A1" s="100" t="s">
        <v>834</v>
      </c>
    </row>
    <row r="2" spans="1:8" ht="15" thickBot="1" x14ac:dyDescent="0.4">
      <c r="A2" s="100" t="s">
        <v>835</v>
      </c>
    </row>
    <row r="3" spans="1:8" ht="15" thickBot="1" x14ac:dyDescent="0.4">
      <c r="A3" s="101"/>
      <c r="B3" s="101" t="s">
        <v>253</v>
      </c>
      <c r="C3" s="102">
        <v>2018</v>
      </c>
      <c r="D3" s="102">
        <v>2019</v>
      </c>
      <c r="E3" s="102">
        <v>2020</v>
      </c>
      <c r="F3" s="102">
        <v>2021</v>
      </c>
      <c r="G3" s="102">
        <v>2022</v>
      </c>
      <c r="H3" s="102">
        <v>2023</v>
      </c>
    </row>
    <row r="4" spans="1:8" ht="15" thickBot="1" x14ac:dyDescent="0.4">
      <c r="A4" s="103" t="s">
        <v>312</v>
      </c>
      <c r="B4" s="104">
        <v>40</v>
      </c>
      <c r="C4" s="104">
        <v>43</v>
      </c>
      <c r="D4" s="120">
        <v>5</v>
      </c>
      <c r="E4" s="104">
        <v>32</v>
      </c>
      <c r="F4" s="119">
        <v>26</v>
      </c>
      <c r="G4" s="104">
        <v>56</v>
      </c>
      <c r="H4" s="104">
        <v>36</v>
      </c>
    </row>
    <row r="5" spans="1:8" ht="15" thickBot="1" x14ac:dyDescent="0.4">
      <c r="A5" s="106" t="s">
        <v>1669</v>
      </c>
      <c r="B5" s="107">
        <v>23450</v>
      </c>
      <c r="C5" s="107">
        <v>214.50216499999999</v>
      </c>
      <c r="D5" s="107">
        <v>209.337784</v>
      </c>
      <c r="E5" s="107">
        <v>219.62243100000001</v>
      </c>
      <c r="F5" s="107">
        <v>208.437218</v>
      </c>
      <c r="G5" s="107">
        <v>187.719875</v>
      </c>
      <c r="H5" s="107">
        <v>176.59462300000001</v>
      </c>
    </row>
    <row r="6" spans="1:8" ht="15" thickBot="1" x14ac:dyDescent="0.4">
      <c r="A6" s="108" t="s">
        <v>836</v>
      </c>
      <c r="B6" s="98"/>
      <c r="C6" s="109"/>
      <c r="D6" s="109"/>
      <c r="E6" s="109"/>
      <c r="F6" s="109"/>
      <c r="G6" s="109"/>
      <c r="H6" s="109"/>
    </row>
    <row r="7" spans="1:8" x14ac:dyDescent="0.35">
      <c r="A7" s="110" t="s">
        <v>837</v>
      </c>
      <c r="B7" s="111">
        <v>0.27600000000000002</v>
      </c>
      <c r="C7" s="112">
        <v>0.32100000000000001</v>
      </c>
      <c r="D7" s="112">
        <v>0.317</v>
      </c>
      <c r="E7" s="112">
        <v>0.32</v>
      </c>
      <c r="F7" s="112">
        <v>0.32600000000000001</v>
      </c>
      <c r="G7" s="112">
        <v>0.24299999999999999</v>
      </c>
      <c r="H7" s="112">
        <v>0.22500000000000001</v>
      </c>
    </row>
    <row r="8" spans="1:8" ht="15" thickBot="1" x14ac:dyDescent="0.4">
      <c r="A8" s="113" t="s">
        <v>92</v>
      </c>
      <c r="B8" s="114"/>
      <c r="C8" s="115" t="s">
        <v>893</v>
      </c>
      <c r="D8" s="115" t="s">
        <v>844</v>
      </c>
      <c r="E8" s="115" t="s">
        <v>1029</v>
      </c>
      <c r="F8" s="115" t="s">
        <v>845</v>
      </c>
      <c r="G8" s="115" t="s">
        <v>1670</v>
      </c>
      <c r="H8" s="115" t="s">
        <v>851</v>
      </c>
    </row>
    <row r="9" spans="1:8" x14ac:dyDescent="0.35">
      <c r="A9" s="110" t="s">
        <v>842</v>
      </c>
      <c r="B9" s="111" t="s">
        <v>1671</v>
      </c>
      <c r="C9" s="112">
        <v>6.6000000000000003E-2</v>
      </c>
      <c r="D9" s="112">
        <v>6.9000000000000006E-2</v>
      </c>
      <c r="E9" s="112">
        <v>7.3999999999999996E-2</v>
      </c>
      <c r="F9" s="112">
        <v>8.4000000000000005E-2</v>
      </c>
      <c r="G9" s="112">
        <v>0.10100000000000001</v>
      </c>
      <c r="H9" s="112">
        <v>8.5999999999999993E-2</v>
      </c>
    </row>
    <row r="10" spans="1:8" ht="15" thickBot="1" x14ac:dyDescent="0.4">
      <c r="A10" s="113" t="s">
        <v>92</v>
      </c>
      <c r="B10" s="114"/>
      <c r="C10" s="115" t="s">
        <v>849</v>
      </c>
      <c r="D10" s="115" t="s">
        <v>1029</v>
      </c>
      <c r="E10" s="115" t="s">
        <v>1672</v>
      </c>
      <c r="F10" s="115" t="s">
        <v>1673</v>
      </c>
      <c r="G10" s="115" t="s">
        <v>966</v>
      </c>
      <c r="H10" s="115" t="s">
        <v>857</v>
      </c>
    </row>
    <row r="11" spans="1:8" x14ac:dyDescent="0.35">
      <c r="A11" s="110" t="s">
        <v>274</v>
      </c>
      <c r="B11" s="111">
        <v>3.9E-2</v>
      </c>
      <c r="C11" s="112">
        <v>3.5000000000000003E-2</v>
      </c>
      <c r="D11" s="112">
        <v>3.4000000000000002E-2</v>
      </c>
      <c r="E11" s="112">
        <v>3.4000000000000002E-2</v>
      </c>
      <c r="F11" s="112">
        <v>0.04</v>
      </c>
      <c r="G11" s="112">
        <v>5.1999999999999998E-2</v>
      </c>
      <c r="H11" s="112">
        <v>4.2000000000000003E-2</v>
      </c>
    </row>
    <row r="12" spans="1:8" ht="15" thickBot="1" x14ac:dyDescent="0.4">
      <c r="A12" s="113" t="s">
        <v>92</v>
      </c>
      <c r="B12" s="114"/>
      <c r="C12" s="115" t="s">
        <v>1029</v>
      </c>
      <c r="D12" s="115" t="s">
        <v>970</v>
      </c>
      <c r="E12" s="115" t="s">
        <v>850</v>
      </c>
      <c r="F12" s="115" t="s">
        <v>845</v>
      </c>
      <c r="G12" s="115" t="s">
        <v>1674</v>
      </c>
      <c r="H12" s="115" t="s">
        <v>887</v>
      </c>
    </row>
    <row r="13" spans="1:8" x14ac:dyDescent="0.35">
      <c r="A13" s="110" t="s">
        <v>853</v>
      </c>
      <c r="B13" s="111" t="s">
        <v>992</v>
      </c>
      <c r="C13" s="112">
        <v>0.04</v>
      </c>
      <c r="D13" s="112">
        <v>3.5000000000000003E-2</v>
      </c>
      <c r="E13" s="112">
        <v>4.4999999999999998E-2</v>
      </c>
      <c r="F13" s="112">
        <v>4.4999999999999998E-2</v>
      </c>
      <c r="G13" s="112">
        <v>9.6000000000000002E-2</v>
      </c>
      <c r="H13" s="112">
        <v>4.4999999999999998E-2</v>
      </c>
    </row>
    <row r="14" spans="1:8" ht="15" thickBot="1" x14ac:dyDescent="0.4">
      <c r="A14" s="113" t="s">
        <v>92</v>
      </c>
      <c r="B14" s="114"/>
      <c r="C14" s="115" t="s">
        <v>863</v>
      </c>
      <c r="D14" s="115" t="s">
        <v>893</v>
      </c>
      <c r="E14" s="115" t="s">
        <v>1673</v>
      </c>
      <c r="F14" s="115" t="s">
        <v>850</v>
      </c>
      <c r="G14" s="115" t="s">
        <v>1675</v>
      </c>
      <c r="H14" s="115" t="s">
        <v>896</v>
      </c>
    </row>
    <row r="15" spans="1:8" x14ac:dyDescent="0.35">
      <c r="A15" s="110" t="s">
        <v>859</v>
      </c>
      <c r="B15" s="111" t="s">
        <v>1676</v>
      </c>
      <c r="C15" s="112">
        <v>0.32600000000000001</v>
      </c>
      <c r="D15" s="112">
        <v>0.29899999999999999</v>
      </c>
      <c r="E15" s="112">
        <v>0.28999999999999998</v>
      </c>
      <c r="F15" s="112">
        <v>0.27300000000000002</v>
      </c>
      <c r="G15" s="112">
        <v>0.29799999999999999</v>
      </c>
      <c r="H15" s="112">
        <v>0.28199999999999997</v>
      </c>
    </row>
    <row r="16" spans="1:8" ht="15" thickBot="1" x14ac:dyDescent="0.4">
      <c r="A16" s="113" t="s">
        <v>92</v>
      </c>
      <c r="B16" s="114"/>
      <c r="C16" s="115" t="s">
        <v>1677</v>
      </c>
      <c r="D16" s="115" t="s">
        <v>847</v>
      </c>
      <c r="E16" s="115" t="s">
        <v>1678</v>
      </c>
      <c r="F16" s="115" t="s">
        <v>1063</v>
      </c>
      <c r="G16" s="115" t="s">
        <v>981</v>
      </c>
      <c r="H16" s="115" t="s">
        <v>872</v>
      </c>
    </row>
    <row r="17" spans="1:8" x14ac:dyDescent="0.35">
      <c r="A17" s="110" t="s">
        <v>864</v>
      </c>
      <c r="B17" s="111" t="s">
        <v>963</v>
      </c>
      <c r="C17" s="112">
        <v>2.7E-2</v>
      </c>
      <c r="D17" s="112">
        <v>2.4E-2</v>
      </c>
      <c r="E17" s="112">
        <v>3.2000000000000001E-2</v>
      </c>
      <c r="F17" s="112">
        <v>3.2000000000000001E-2</v>
      </c>
      <c r="G17" s="112">
        <v>6.7000000000000004E-2</v>
      </c>
      <c r="H17" s="112">
        <v>3.2000000000000001E-2</v>
      </c>
    </row>
    <row r="18" spans="1:8" ht="15" thickBot="1" x14ac:dyDescent="0.4">
      <c r="A18" s="113" t="s">
        <v>92</v>
      </c>
      <c r="B18" s="114"/>
      <c r="C18" s="115" t="s">
        <v>1672</v>
      </c>
      <c r="D18" s="115" t="s">
        <v>942</v>
      </c>
      <c r="E18" s="115" t="s">
        <v>863</v>
      </c>
      <c r="F18" s="115" t="s">
        <v>850</v>
      </c>
      <c r="G18" s="115" t="s">
        <v>1039</v>
      </c>
      <c r="H18" s="115" t="s">
        <v>995</v>
      </c>
    </row>
    <row r="19" spans="1:8" ht="15" thickBot="1" x14ac:dyDescent="0.4">
      <c r="A19" s="108" t="s">
        <v>866</v>
      </c>
      <c r="B19" s="98"/>
      <c r="C19" s="109"/>
      <c r="D19" s="109"/>
      <c r="E19" s="109"/>
      <c r="F19" s="109"/>
      <c r="G19" s="109"/>
      <c r="H19" s="109"/>
    </row>
    <row r="20" spans="1:8" x14ac:dyDescent="0.35">
      <c r="A20" s="110" t="s">
        <v>867</v>
      </c>
      <c r="B20" s="111" t="s">
        <v>1679</v>
      </c>
      <c r="C20" s="116">
        <v>1.48</v>
      </c>
      <c r="D20" s="116">
        <v>1.38</v>
      </c>
      <c r="E20" s="116">
        <v>1.36</v>
      </c>
      <c r="F20" s="116">
        <v>1.31</v>
      </c>
      <c r="G20" s="116">
        <v>1.1000000000000001</v>
      </c>
      <c r="H20" s="116">
        <v>1.1100000000000001</v>
      </c>
    </row>
    <row r="21" spans="1:8" ht="15" thickBot="1" x14ac:dyDescent="0.4">
      <c r="A21" s="113" t="s">
        <v>92</v>
      </c>
      <c r="B21" s="114"/>
      <c r="C21" s="115" t="s">
        <v>979</v>
      </c>
      <c r="D21" s="115" t="s">
        <v>1680</v>
      </c>
      <c r="E21" s="115" t="s">
        <v>980</v>
      </c>
      <c r="F21" s="115" t="s">
        <v>879</v>
      </c>
      <c r="G21" s="115" t="s">
        <v>1681</v>
      </c>
      <c r="H21" s="115" t="s">
        <v>1682</v>
      </c>
    </row>
    <row r="22" spans="1:8" x14ac:dyDescent="0.35">
      <c r="A22" s="110" t="s">
        <v>873</v>
      </c>
      <c r="B22" s="111" t="s">
        <v>992</v>
      </c>
      <c r="C22" s="112">
        <v>0.04</v>
      </c>
      <c r="D22" s="112">
        <v>3.5000000000000003E-2</v>
      </c>
      <c r="E22" s="112">
        <v>4.4999999999999998E-2</v>
      </c>
      <c r="F22" s="112">
        <v>4.4999999999999998E-2</v>
      </c>
      <c r="G22" s="112">
        <v>9.6000000000000002E-2</v>
      </c>
      <c r="H22" s="112">
        <v>4.4999999999999998E-2</v>
      </c>
    </row>
    <row r="23" spans="1:8" ht="15" thickBot="1" x14ac:dyDescent="0.4">
      <c r="A23" s="113" t="s">
        <v>92</v>
      </c>
      <c r="B23" s="114"/>
      <c r="C23" s="115" t="s">
        <v>863</v>
      </c>
      <c r="D23" s="115" t="s">
        <v>893</v>
      </c>
      <c r="E23" s="115" t="s">
        <v>1673</v>
      </c>
      <c r="F23" s="115" t="s">
        <v>850</v>
      </c>
      <c r="G23" s="115" t="s">
        <v>1675</v>
      </c>
      <c r="H23" s="115" t="s">
        <v>896</v>
      </c>
    </row>
    <row r="24" spans="1:8" x14ac:dyDescent="0.35">
      <c r="A24" s="110" t="s">
        <v>874</v>
      </c>
      <c r="B24" s="111" t="s">
        <v>1683</v>
      </c>
      <c r="C24" s="112">
        <v>5.8999999999999997E-2</v>
      </c>
      <c r="D24" s="112">
        <v>4.8000000000000001E-2</v>
      </c>
      <c r="E24" s="112">
        <v>6.0999999999999999E-2</v>
      </c>
      <c r="F24" s="112">
        <v>5.8000000000000003E-2</v>
      </c>
      <c r="G24" s="112">
        <v>0.106</v>
      </c>
      <c r="H24" s="112">
        <v>0.05</v>
      </c>
    </row>
    <row r="25" spans="1:8" ht="15" thickBot="1" x14ac:dyDescent="0.4">
      <c r="A25" s="113" t="s">
        <v>92</v>
      </c>
      <c r="B25" s="114"/>
      <c r="C25" s="115" t="s">
        <v>1682</v>
      </c>
      <c r="D25" s="115" t="s">
        <v>855</v>
      </c>
      <c r="E25" s="115" t="s">
        <v>1065</v>
      </c>
      <c r="F25" s="115" t="s">
        <v>942</v>
      </c>
      <c r="G25" s="115" t="s">
        <v>1684</v>
      </c>
      <c r="H25" s="115" t="s">
        <v>897</v>
      </c>
    </row>
    <row r="26" spans="1:8" x14ac:dyDescent="0.35">
      <c r="A26" s="110" t="s">
        <v>881</v>
      </c>
      <c r="B26" s="111" t="s">
        <v>1685</v>
      </c>
      <c r="C26" s="116">
        <v>2.63</v>
      </c>
      <c r="D26" s="116">
        <v>2.58</v>
      </c>
      <c r="E26" s="116">
        <v>2.4</v>
      </c>
      <c r="F26" s="116">
        <v>2.27</v>
      </c>
      <c r="G26" s="116">
        <v>2.23</v>
      </c>
      <c r="H26" s="116">
        <v>2.1800000000000002</v>
      </c>
    </row>
    <row r="27" spans="1:8" ht="15" thickBot="1" x14ac:dyDescent="0.4">
      <c r="A27" s="113" t="s">
        <v>92</v>
      </c>
      <c r="B27" s="114"/>
      <c r="C27" s="115" t="s">
        <v>1686</v>
      </c>
      <c r="D27" s="115" t="s">
        <v>895</v>
      </c>
      <c r="E27" s="115" t="s">
        <v>1687</v>
      </c>
      <c r="F27" s="115" t="s">
        <v>1032</v>
      </c>
      <c r="G27" s="115" t="s">
        <v>960</v>
      </c>
      <c r="H27" s="115" t="s">
        <v>877</v>
      </c>
    </row>
    <row r="28" spans="1:8" x14ac:dyDescent="0.35">
      <c r="A28" s="110" t="s">
        <v>885</v>
      </c>
      <c r="B28" s="111" t="s">
        <v>962</v>
      </c>
      <c r="C28" s="112">
        <v>0.156</v>
      </c>
      <c r="D28" s="112">
        <v>0.124</v>
      </c>
      <c r="E28" s="112">
        <v>0.152</v>
      </c>
      <c r="F28" s="112">
        <v>0.13600000000000001</v>
      </c>
      <c r="G28" s="112">
        <v>0.23799999999999999</v>
      </c>
      <c r="H28" s="112">
        <v>0.111</v>
      </c>
    </row>
    <row r="29" spans="1:8" ht="15" thickBot="1" x14ac:dyDescent="0.4">
      <c r="A29" s="113" t="s">
        <v>92</v>
      </c>
      <c r="B29" s="114"/>
      <c r="C29" s="115" t="s">
        <v>921</v>
      </c>
      <c r="D29" s="115" t="s">
        <v>841</v>
      </c>
      <c r="E29" s="115" t="s">
        <v>1688</v>
      </c>
      <c r="F29" s="115" t="s">
        <v>872</v>
      </c>
      <c r="G29" s="115" t="s">
        <v>1689</v>
      </c>
      <c r="H29" s="115" t="s">
        <v>1690</v>
      </c>
    </row>
    <row r="30" spans="1:8" x14ac:dyDescent="0.35">
      <c r="A30" s="110" t="s">
        <v>890</v>
      </c>
      <c r="B30" s="111" t="s">
        <v>1691</v>
      </c>
      <c r="C30" s="116">
        <v>0.67</v>
      </c>
      <c r="D30" s="116">
        <v>0.69</v>
      </c>
      <c r="E30" s="116">
        <v>0.7</v>
      </c>
      <c r="F30" s="116">
        <v>0.72</v>
      </c>
      <c r="G30" s="116">
        <v>0.7</v>
      </c>
      <c r="H30" s="116">
        <v>0.71</v>
      </c>
    </row>
    <row r="31" spans="1:8" ht="15" thickBot="1" x14ac:dyDescent="0.4">
      <c r="A31" s="113" t="s">
        <v>92</v>
      </c>
      <c r="B31" s="114"/>
      <c r="C31" s="115" t="s">
        <v>1692</v>
      </c>
      <c r="D31" s="115" t="s">
        <v>1693</v>
      </c>
      <c r="E31" s="115" t="s">
        <v>1694</v>
      </c>
      <c r="F31" s="115" t="s">
        <v>999</v>
      </c>
      <c r="G31" s="115" t="s">
        <v>918</v>
      </c>
      <c r="H31" s="115" t="s">
        <v>966</v>
      </c>
    </row>
    <row r="32" spans="1:8" x14ac:dyDescent="0.35">
      <c r="A32" s="110" t="s">
        <v>306</v>
      </c>
      <c r="B32" s="111" t="s">
        <v>1695</v>
      </c>
      <c r="C32" s="112">
        <v>0.105</v>
      </c>
      <c r="D32" s="112">
        <v>8.5999999999999993E-2</v>
      </c>
      <c r="E32" s="112">
        <v>0.107</v>
      </c>
      <c r="F32" s="112">
        <v>9.8000000000000004E-2</v>
      </c>
      <c r="G32" s="112">
        <v>0.16700000000000001</v>
      </c>
      <c r="H32" s="112">
        <v>7.9000000000000001E-2</v>
      </c>
    </row>
    <row r="33" spans="1:8" ht="15" thickBot="1" x14ac:dyDescent="0.4">
      <c r="A33" s="113" t="s">
        <v>92</v>
      </c>
      <c r="B33" s="114"/>
      <c r="C33" s="115" t="s">
        <v>846</v>
      </c>
      <c r="D33" s="115" t="s">
        <v>895</v>
      </c>
      <c r="E33" s="115" t="s">
        <v>1696</v>
      </c>
      <c r="F33" s="115" t="s">
        <v>1678</v>
      </c>
      <c r="G33" s="115" t="s">
        <v>1697</v>
      </c>
      <c r="H33" s="115" t="s">
        <v>1698</v>
      </c>
    </row>
    <row r="34" spans="1:8" x14ac:dyDescent="0.35">
      <c r="A34" s="110" t="s">
        <v>898</v>
      </c>
      <c r="B34" s="111" t="s">
        <v>1699</v>
      </c>
      <c r="C34" s="116">
        <v>0.84</v>
      </c>
      <c r="D34" s="116">
        <v>0.81</v>
      </c>
      <c r="E34" s="116">
        <v>0.84</v>
      </c>
      <c r="F34" s="116">
        <v>0.82</v>
      </c>
      <c r="G34" s="116">
        <v>0.89</v>
      </c>
      <c r="H34" s="116">
        <v>0.76</v>
      </c>
    </row>
    <row r="35" spans="1:8" ht="15" thickBot="1" x14ac:dyDescent="0.4">
      <c r="A35" s="113" t="s">
        <v>92</v>
      </c>
      <c r="B35" s="114"/>
      <c r="C35" s="115" t="s">
        <v>921</v>
      </c>
      <c r="D35" s="115" t="s">
        <v>1026</v>
      </c>
      <c r="E35" s="115" t="s">
        <v>907</v>
      </c>
      <c r="F35" s="115" t="s">
        <v>1700</v>
      </c>
      <c r="G35" s="115" t="s">
        <v>1701</v>
      </c>
      <c r="H35" s="115" t="s">
        <v>1702</v>
      </c>
    </row>
    <row r="36" spans="1:8" x14ac:dyDescent="0.35">
      <c r="A36" s="110" t="s">
        <v>905</v>
      </c>
      <c r="B36" s="111" t="s">
        <v>1703</v>
      </c>
      <c r="C36" s="112">
        <v>8.8999999999999996E-2</v>
      </c>
      <c r="D36" s="112">
        <v>6.9000000000000006E-2</v>
      </c>
      <c r="E36" s="112">
        <v>0.09</v>
      </c>
      <c r="F36" s="112">
        <v>0.08</v>
      </c>
      <c r="G36" s="112">
        <v>0.14899999999999999</v>
      </c>
      <c r="H36" s="112">
        <v>0.06</v>
      </c>
    </row>
    <row r="37" spans="1:8" ht="15" thickBot="1" x14ac:dyDescent="0.4">
      <c r="A37" s="113" t="s">
        <v>92</v>
      </c>
      <c r="B37" s="114"/>
      <c r="C37" s="115" t="s">
        <v>863</v>
      </c>
      <c r="D37" s="115" t="s">
        <v>888</v>
      </c>
      <c r="E37" s="115" t="s">
        <v>1696</v>
      </c>
      <c r="F37" s="115" t="s">
        <v>887</v>
      </c>
      <c r="G37" s="115" t="s">
        <v>1697</v>
      </c>
      <c r="H37" s="115" t="s">
        <v>1704</v>
      </c>
    </row>
    <row r="38" spans="1:8" ht="15" thickBot="1" x14ac:dyDescent="0.4">
      <c r="A38" s="108" t="s">
        <v>911</v>
      </c>
      <c r="B38" s="98"/>
      <c r="C38" s="109"/>
      <c r="D38" s="109"/>
      <c r="E38" s="109"/>
      <c r="F38" s="109"/>
      <c r="G38" s="109"/>
      <c r="H38" s="109"/>
    </row>
    <row r="39" spans="1:8" x14ac:dyDescent="0.35">
      <c r="A39" s="110" t="s">
        <v>912</v>
      </c>
      <c r="B39" s="111" t="s">
        <v>1705</v>
      </c>
      <c r="C39" s="116">
        <v>0.52</v>
      </c>
      <c r="D39" s="116">
        <v>0.47</v>
      </c>
      <c r="E39" s="116">
        <v>0.51</v>
      </c>
      <c r="F39" s="116">
        <v>0.61</v>
      </c>
      <c r="G39" s="116">
        <v>0.66</v>
      </c>
      <c r="H39" s="116">
        <v>0.67</v>
      </c>
    </row>
    <row r="40" spans="1:8" ht="15" thickBot="1" x14ac:dyDescent="0.4">
      <c r="A40" s="113" t="s">
        <v>92</v>
      </c>
      <c r="B40" s="114"/>
      <c r="C40" s="115" t="s">
        <v>1706</v>
      </c>
      <c r="D40" s="115" t="s">
        <v>1707</v>
      </c>
      <c r="E40" s="115" t="s">
        <v>1701</v>
      </c>
      <c r="F40" s="115" t="s">
        <v>1708</v>
      </c>
      <c r="G40" s="115" t="s">
        <v>1709</v>
      </c>
      <c r="H40" s="115" t="s">
        <v>1028</v>
      </c>
    </row>
    <row r="41" spans="1:8" x14ac:dyDescent="0.35">
      <c r="A41" s="110" t="s">
        <v>916</v>
      </c>
      <c r="B41" s="111" t="s">
        <v>1710</v>
      </c>
      <c r="C41" s="116">
        <v>0.9</v>
      </c>
      <c r="D41" s="116">
        <v>0.86</v>
      </c>
      <c r="E41" s="116">
        <v>0.97</v>
      </c>
      <c r="F41" s="116">
        <v>1.07</v>
      </c>
      <c r="G41" s="116">
        <v>1.1499999999999999</v>
      </c>
      <c r="H41" s="116">
        <v>1.1399999999999999</v>
      </c>
    </row>
    <row r="42" spans="1:8" ht="15" thickBot="1" x14ac:dyDescent="0.4">
      <c r="A42" s="113" t="s">
        <v>92</v>
      </c>
      <c r="B42" s="114"/>
      <c r="C42" s="115" t="s">
        <v>1711</v>
      </c>
      <c r="D42" s="115" t="s">
        <v>998</v>
      </c>
      <c r="E42" s="115" t="s">
        <v>1712</v>
      </c>
      <c r="F42" s="115" t="s">
        <v>1713</v>
      </c>
      <c r="G42" s="115" t="s">
        <v>865</v>
      </c>
      <c r="H42" s="115" t="s">
        <v>838</v>
      </c>
    </row>
    <row r="43" spans="1:8" x14ac:dyDescent="0.35">
      <c r="A43" s="110" t="s">
        <v>922</v>
      </c>
      <c r="B43" s="111" t="s">
        <v>1714</v>
      </c>
      <c r="C43" s="117">
        <v>25.2</v>
      </c>
      <c r="D43" s="117">
        <v>29.8</v>
      </c>
      <c r="E43" s="117">
        <v>34.1</v>
      </c>
      <c r="F43" s="117">
        <v>40.799999999999997</v>
      </c>
      <c r="G43" s="117">
        <v>39.9</v>
      </c>
      <c r="H43" s="117">
        <v>33.700000000000003</v>
      </c>
    </row>
    <row r="44" spans="1:8" ht="15" thickBot="1" x14ac:dyDescent="0.4">
      <c r="A44" s="113" t="s">
        <v>92</v>
      </c>
      <c r="B44" s="114"/>
      <c r="C44" s="115" t="s">
        <v>1715</v>
      </c>
      <c r="D44" s="115" t="s">
        <v>1716</v>
      </c>
      <c r="E44" s="115" t="s">
        <v>1717</v>
      </c>
      <c r="F44" s="115" t="s">
        <v>938</v>
      </c>
      <c r="G44" s="115" t="s">
        <v>877</v>
      </c>
      <c r="H44" s="115" t="s">
        <v>1718</v>
      </c>
    </row>
    <row r="45" spans="1:8" x14ac:dyDescent="0.35">
      <c r="A45" s="110" t="s">
        <v>929</v>
      </c>
      <c r="B45" s="111" t="s">
        <v>1719</v>
      </c>
      <c r="C45" s="117">
        <v>31.7</v>
      </c>
      <c r="D45" s="117">
        <v>40.9</v>
      </c>
      <c r="E45" s="117">
        <v>47</v>
      </c>
      <c r="F45" s="117">
        <v>50.2</v>
      </c>
      <c r="G45" s="117">
        <v>58</v>
      </c>
      <c r="H45" s="117">
        <v>57.9</v>
      </c>
    </row>
    <row r="46" spans="1:8" ht="15" thickBot="1" x14ac:dyDescent="0.4">
      <c r="A46" s="113" t="s">
        <v>92</v>
      </c>
      <c r="B46" s="114"/>
      <c r="C46" s="115" t="s">
        <v>1720</v>
      </c>
      <c r="D46" s="115" t="s">
        <v>272</v>
      </c>
      <c r="E46" s="115" t="s">
        <v>1721</v>
      </c>
      <c r="F46" s="115" t="s">
        <v>1709</v>
      </c>
      <c r="G46" s="115" t="s">
        <v>1722</v>
      </c>
      <c r="H46" s="115" t="s">
        <v>942</v>
      </c>
    </row>
    <row r="47" spans="1:8" ht="15" thickBot="1" x14ac:dyDescent="0.4">
      <c r="A47" s="108" t="s">
        <v>305</v>
      </c>
      <c r="B47" s="98"/>
      <c r="C47" s="109"/>
      <c r="D47" s="109"/>
      <c r="E47" s="109"/>
      <c r="F47" s="109"/>
      <c r="G47" s="109"/>
      <c r="H47" s="109"/>
    </row>
    <row r="48" spans="1:8" x14ac:dyDescent="0.35">
      <c r="A48" s="110" t="s">
        <v>934</v>
      </c>
      <c r="B48" s="111" t="s">
        <v>1685</v>
      </c>
      <c r="C48" s="116">
        <v>2.63</v>
      </c>
      <c r="D48" s="116">
        <v>2.58</v>
      </c>
      <c r="E48" s="116">
        <v>2.4</v>
      </c>
      <c r="F48" s="116">
        <v>2.27</v>
      </c>
      <c r="G48" s="116">
        <v>2.23</v>
      </c>
      <c r="H48" s="116">
        <v>2.1800000000000002</v>
      </c>
    </row>
    <row r="49" spans="1:8" ht="15" thickBot="1" x14ac:dyDescent="0.4">
      <c r="A49" s="113" t="s">
        <v>92</v>
      </c>
      <c r="B49" s="114"/>
      <c r="C49" s="115" t="s">
        <v>1686</v>
      </c>
      <c r="D49" s="115" t="s">
        <v>895</v>
      </c>
      <c r="E49" s="115" t="s">
        <v>1687</v>
      </c>
      <c r="F49" s="115" t="s">
        <v>1032</v>
      </c>
      <c r="G49" s="115" t="s">
        <v>960</v>
      </c>
      <c r="H49" s="115" t="s">
        <v>877</v>
      </c>
    </row>
    <row r="50" spans="1:8" x14ac:dyDescent="0.35">
      <c r="A50" s="110" t="s">
        <v>935</v>
      </c>
      <c r="B50" s="111" t="s">
        <v>1723</v>
      </c>
      <c r="C50" s="116">
        <v>0.57999999999999996</v>
      </c>
      <c r="D50" s="116">
        <v>0.65</v>
      </c>
      <c r="E50" s="116">
        <v>0.56000000000000005</v>
      </c>
      <c r="F50" s="116">
        <v>0.52</v>
      </c>
      <c r="G50" s="116">
        <v>0.43</v>
      </c>
      <c r="H50" s="116">
        <v>0.45</v>
      </c>
    </row>
    <row r="51" spans="1:8" ht="15" thickBot="1" x14ac:dyDescent="0.4">
      <c r="A51" s="113" t="s">
        <v>92</v>
      </c>
      <c r="B51" s="114"/>
      <c r="C51" s="115" t="s">
        <v>1724</v>
      </c>
      <c r="D51" s="115" t="s">
        <v>1725</v>
      </c>
      <c r="E51" s="115" t="s">
        <v>1726</v>
      </c>
      <c r="F51" s="115" t="s">
        <v>1727</v>
      </c>
      <c r="G51" s="115" t="s">
        <v>1728</v>
      </c>
      <c r="H51" s="115" t="s">
        <v>1036</v>
      </c>
    </row>
    <row r="52" spans="1:8" x14ac:dyDescent="0.35">
      <c r="A52" s="110" t="s">
        <v>940</v>
      </c>
      <c r="B52" s="111" t="s">
        <v>875</v>
      </c>
      <c r="C52" s="112">
        <v>0.29799999999999999</v>
      </c>
      <c r="D52" s="112">
        <v>0.27800000000000002</v>
      </c>
      <c r="E52" s="112">
        <v>0.28100000000000003</v>
      </c>
      <c r="F52" s="112">
        <v>0.26700000000000002</v>
      </c>
      <c r="G52" s="112">
        <v>0.26</v>
      </c>
      <c r="H52" s="112">
        <v>0.23499999999999999</v>
      </c>
    </row>
    <row r="53" spans="1:8" ht="15" thickBot="1" x14ac:dyDescent="0.4">
      <c r="A53" s="113" t="s">
        <v>92</v>
      </c>
      <c r="B53" s="114"/>
      <c r="C53" s="115" t="s">
        <v>861</v>
      </c>
      <c r="D53" s="115" t="s">
        <v>888</v>
      </c>
      <c r="E53" s="115" t="s">
        <v>1029</v>
      </c>
      <c r="F53" s="115" t="s">
        <v>848</v>
      </c>
      <c r="G53" s="115" t="s">
        <v>838</v>
      </c>
      <c r="H53" s="115" t="s">
        <v>1692</v>
      </c>
    </row>
    <row r="54" spans="1:8" x14ac:dyDescent="0.35">
      <c r="A54" s="110" t="s">
        <v>943</v>
      </c>
      <c r="B54" s="111" t="s">
        <v>1729</v>
      </c>
      <c r="C54" s="116">
        <v>2.13</v>
      </c>
      <c r="D54" s="116">
        <v>2.3199999999999998</v>
      </c>
      <c r="E54" s="116">
        <v>2.25</v>
      </c>
      <c r="F54" s="116">
        <v>1.8</v>
      </c>
      <c r="G54" s="116">
        <v>1.48</v>
      </c>
      <c r="H54" s="116">
        <v>1.61</v>
      </c>
    </row>
    <row r="55" spans="1:8" ht="15" thickBot="1" x14ac:dyDescent="0.4">
      <c r="A55" s="113" t="s">
        <v>92</v>
      </c>
      <c r="B55" s="114"/>
      <c r="C55" s="115" t="s">
        <v>1730</v>
      </c>
      <c r="D55" s="115" t="s">
        <v>1731</v>
      </c>
      <c r="E55" s="115" t="s">
        <v>918</v>
      </c>
      <c r="F55" s="115" t="s">
        <v>1732</v>
      </c>
      <c r="G55" s="115" t="s">
        <v>1733</v>
      </c>
      <c r="H55" s="115" t="s">
        <v>1734</v>
      </c>
    </row>
    <row r="56" spans="1:8" ht="15" thickBot="1" x14ac:dyDescent="0.4">
      <c r="A56" s="108" t="s">
        <v>946</v>
      </c>
      <c r="B56" s="98"/>
      <c r="C56" s="109"/>
      <c r="D56" s="109"/>
      <c r="E56" s="109"/>
      <c r="F56" s="109"/>
      <c r="G56" s="109"/>
      <c r="H56" s="109"/>
    </row>
    <row r="57" spans="1:8" x14ac:dyDescent="0.35">
      <c r="A57" s="110" t="s">
        <v>947</v>
      </c>
      <c r="B57" s="111" t="s">
        <v>1735</v>
      </c>
      <c r="C57" s="117">
        <v>10.3</v>
      </c>
      <c r="D57" s="117">
        <v>9.1999999999999993</v>
      </c>
      <c r="E57" s="117">
        <v>9.3000000000000007</v>
      </c>
      <c r="F57" s="117">
        <v>9.5</v>
      </c>
      <c r="G57" s="117">
        <v>8.1</v>
      </c>
      <c r="H57" s="117">
        <v>8.1999999999999993</v>
      </c>
    </row>
    <row r="58" spans="1:8" ht="15" thickBot="1" x14ac:dyDescent="0.4">
      <c r="A58" s="113" t="s">
        <v>92</v>
      </c>
      <c r="B58" s="114"/>
      <c r="C58" s="115" t="s">
        <v>989</v>
      </c>
      <c r="D58" s="115" t="s">
        <v>1736</v>
      </c>
      <c r="E58" s="115" t="s">
        <v>1737</v>
      </c>
      <c r="F58" s="115" t="s">
        <v>1696</v>
      </c>
      <c r="G58" s="115" t="s">
        <v>1738</v>
      </c>
      <c r="H58" s="115" t="s">
        <v>1065</v>
      </c>
    </row>
    <row r="59" spans="1:8" x14ac:dyDescent="0.35">
      <c r="A59" s="110" t="s">
        <v>91</v>
      </c>
      <c r="B59" s="111" t="s">
        <v>1739</v>
      </c>
      <c r="C59" s="117">
        <v>35.4</v>
      </c>
      <c r="D59" s="117">
        <v>39.700000000000003</v>
      </c>
      <c r="E59" s="117">
        <v>39.299999999999997</v>
      </c>
      <c r="F59" s="117">
        <v>38.5</v>
      </c>
      <c r="G59" s="117">
        <v>45.2</v>
      </c>
      <c r="H59" s="117">
        <v>44.6</v>
      </c>
    </row>
    <row r="60" spans="1:8" ht="15" thickBot="1" x14ac:dyDescent="0.4">
      <c r="A60" s="113" t="s">
        <v>92</v>
      </c>
      <c r="B60" s="114"/>
      <c r="C60" s="115" t="s">
        <v>1706</v>
      </c>
      <c r="D60" s="115" t="s">
        <v>883</v>
      </c>
      <c r="E60" s="115" t="s">
        <v>855</v>
      </c>
      <c r="F60" s="115" t="s">
        <v>888</v>
      </c>
      <c r="G60" s="115" t="s">
        <v>1740</v>
      </c>
      <c r="H60" s="115" t="s">
        <v>94</v>
      </c>
    </row>
    <row r="61" spans="1:8" x14ac:dyDescent="0.35">
      <c r="A61" s="110" t="s">
        <v>93</v>
      </c>
      <c r="B61" s="111" t="s">
        <v>1741</v>
      </c>
      <c r="C61" s="117">
        <v>7.2</v>
      </c>
      <c r="D61" s="117">
        <v>6.4</v>
      </c>
      <c r="E61" s="117">
        <v>6</v>
      </c>
      <c r="F61" s="117">
        <v>5.8</v>
      </c>
      <c r="G61" s="117">
        <v>5.6</v>
      </c>
      <c r="H61" s="117">
        <v>5.6</v>
      </c>
    </row>
    <row r="62" spans="1:8" ht="15" thickBot="1" x14ac:dyDescent="0.4">
      <c r="A62" s="113" t="s">
        <v>92</v>
      </c>
      <c r="B62" s="114"/>
      <c r="C62" s="115" t="s">
        <v>1742</v>
      </c>
      <c r="D62" s="115" t="s">
        <v>1743</v>
      </c>
      <c r="E62" s="115" t="s">
        <v>1744</v>
      </c>
      <c r="F62" s="115" t="s">
        <v>858</v>
      </c>
      <c r="G62" s="115" t="s">
        <v>1745</v>
      </c>
      <c r="H62" s="115" t="s">
        <v>1737</v>
      </c>
    </row>
    <row r="63" spans="1:8" x14ac:dyDescent="0.35">
      <c r="A63" s="110" t="s">
        <v>99</v>
      </c>
      <c r="B63" s="111" t="s">
        <v>1746</v>
      </c>
      <c r="C63" s="117">
        <v>50.5</v>
      </c>
      <c r="D63" s="117">
        <v>56.8</v>
      </c>
      <c r="E63" s="117">
        <v>60.7</v>
      </c>
      <c r="F63" s="117">
        <v>63</v>
      </c>
      <c r="G63" s="117">
        <v>65.8</v>
      </c>
      <c r="H63" s="117">
        <v>65.099999999999994</v>
      </c>
    </row>
    <row r="64" spans="1:8" ht="15" thickBot="1" x14ac:dyDescent="0.4">
      <c r="A64" s="113" t="s">
        <v>92</v>
      </c>
      <c r="B64" s="114"/>
      <c r="C64" s="115" t="s">
        <v>1747</v>
      </c>
      <c r="D64" s="115" t="s">
        <v>1748</v>
      </c>
      <c r="E64" s="115" t="s">
        <v>1749</v>
      </c>
      <c r="F64" s="115" t="s">
        <v>1750</v>
      </c>
      <c r="G64" s="115" t="s">
        <v>1017</v>
      </c>
      <c r="H64" s="115" t="s">
        <v>855</v>
      </c>
    </row>
    <row r="65" spans="1:8" x14ac:dyDescent="0.35">
      <c r="A65" s="110" t="s">
        <v>100</v>
      </c>
      <c r="B65" s="111" t="s">
        <v>1751</v>
      </c>
      <c r="C65" s="117">
        <v>54.2</v>
      </c>
      <c r="D65" s="117">
        <v>55.6</v>
      </c>
      <c r="E65" s="117">
        <v>52.9</v>
      </c>
      <c r="F65" s="117">
        <v>51.2</v>
      </c>
      <c r="G65" s="117">
        <v>52.9</v>
      </c>
      <c r="H65" s="117">
        <v>51.8</v>
      </c>
    </row>
    <row r="66" spans="1:8" ht="15" thickBot="1" x14ac:dyDescent="0.4">
      <c r="A66" s="113" t="s">
        <v>92</v>
      </c>
      <c r="B66" s="114"/>
      <c r="C66" s="115" t="s">
        <v>1688</v>
      </c>
      <c r="D66" s="115" t="s">
        <v>981</v>
      </c>
      <c r="E66" s="115" t="s">
        <v>880</v>
      </c>
      <c r="F66" s="115" t="s">
        <v>96</v>
      </c>
      <c r="G66" s="115" t="s">
        <v>1752</v>
      </c>
      <c r="H66" s="115" t="s">
        <v>878</v>
      </c>
    </row>
    <row r="67" spans="1:8" x14ac:dyDescent="0.35">
      <c r="A67" s="110" t="s">
        <v>958</v>
      </c>
      <c r="B67" s="111" t="s">
        <v>1753</v>
      </c>
      <c r="C67" s="116">
        <v>2.58</v>
      </c>
      <c r="D67" s="116">
        <v>2.41</v>
      </c>
      <c r="E67" s="116">
        <v>2.35</v>
      </c>
      <c r="F67" s="116">
        <v>2.31</v>
      </c>
      <c r="G67" s="116">
        <v>2.0099999999999998</v>
      </c>
      <c r="H67" s="116">
        <v>2.12</v>
      </c>
    </row>
    <row r="68" spans="1:8" ht="15" thickBot="1" x14ac:dyDescent="0.4">
      <c r="A68" s="113" t="s">
        <v>92</v>
      </c>
      <c r="B68" s="114"/>
      <c r="C68" s="115" t="s">
        <v>888</v>
      </c>
      <c r="D68" s="115" t="s">
        <v>1687</v>
      </c>
      <c r="E68" s="115" t="s">
        <v>1692</v>
      </c>
      <c r="F68" s="115" t="s">
        <v>1063</v>
      </c>
      <c r="G68" s="115" t="s">
        <v>1754</v>
      </c>
      <c r="H68" s="115" t="s">
        <v>1755</v>
      </c>
    </row>
    <row r="69" spans="1:8" x14ac:dyDescent="0.35">
      <c r="A69" s="110" t="s">
        <v>964</v>
      </c>
      <c r="B69" s="118" t="s">
        <v>844</v>
      </c>
      <c r="C69" s="112">
        <v>6.0000000000000001E-3</v>
      </c>
      <c r="D69" s="112">
        <v>5.0000000000000001E-3</v>
      </c>
      <c r="E69" s="112">
        <v>0.01</v>
      </c>
      <c r="F69" s="112">
        <v>2.8000000000000001E-2</v>
      </c>
      <c r="G69" s="112">
        <v>2.7E-2</v>
      </c>
      <c r="H69" s="112">
        <v>0.01</v>
      </c>
    </row>
    <row r="70" spans="1:8" ht="15" thickBot="1" x14ac:dyDescent="0.4">
      <c r="A70" s="113" t="s">
        <v>92</v>
      </c>
      <c r="B70" s="114"/>
      <c r="C70" s="115" t="s">
        <v>1756</v>
      </c>
      <c r="D70" s="115" t="s">
        <v>970</v>
      </c>
      <c r="E70" s="115" t="s">
        <v>1672</v>
      </c>
      <c r="F70" s="115" t="s">
        <v>1028</v>
      </c>
      <c r="G70" s="115" t="s">
        <v>970</v>
      </c>
      <c r="H70" s="115" t="s">
        <v>1063</v>
      </c>
    </row>
    <row r="71" spans="1:8" x14ac:dyDescent="0.35">
      <c r="A71" s="110" t="s">
        <v>969</v>
      </c>
      <c r="B71" s="111" t="s">
        <v>1756</v>
      </c>
      <c r="C71" s="112">
        <v>8.9999999999999993E-3</v>
      </c>
      <c r="D71" s="112">
        <v>8.0000000000000002E-3</v>
      </c>
      <c r="E71" s="112">
        <v>5.0000000000000001E-3</v>
      </c>
      <c r="F71" s="112">
        <v>6.0000000000000001E-3</v>
      </c>
      <c r="G71" s="112">
        <v>4.0000000000000001E-3</v>
      </c>
      <c r="H71" s="112">
        <v>5.0000000000000001E-3</v>
      </c>
    </row>
    <row r="72" spans="1:8" ht="15" thickBot="1" x14ac:dyDescent="0.4">
      <c r="A72" s="113" t="s">
        <v>92</v>
      </c>
      <c r="B72" s="114"/>
      <c r="C72" s="115" t="s">
        <v>849</v>
      </c>
      <c r="D72" s="115" t="s">
        <v>970</v>
      </c>
      <c r="E72" s="115" t="s">
        <v>942</v>
      </c>
      <c r="F72" s="115" t="s">
        <v>849</v>
      </c>
      <c r="G72" s="115" t="s">
        <v>856</v>
      </c>
      <c r="H72" s="115" t="s">
        <v>849</v>
      </c>
    </row>
    <row r="73" spans="1:8" x14ac:dyDescent="0.35">
      <c r="A73" s="110" t="s">
        <v>971</v>
      </c>
      <c r="B73" s="111" t="s">
        <v>945</v>
      </c>
      <c r="C73" s="112">
        <v>6.5000000000000002E-2</v>
      </c>
      <c r="D73" s="112">
        <v>5.3999999999999999E-2</v>
      </c>
      <c r="E73" s="112">
        <v>6.8000000000000005E-2</v>
      </c>
      <c r="F73" s="112">
        <v>6.4000000000000001E-2</v>
      </c>
      <c r="G73" s="112">
        <v>0.109</v>
      </c>
      <c r="H73" s="112">
        <v>5.2999999999999999E-2</v>
      </c>
    </row>
    <row r="74" spans="1:8" ht="15" thickBot="1" x14ac:dyDescent="0.4">
      <c r="A74" s="113" t="s">
        <v>92</v>
      </c>
      <c r="B74" s="114"/>
      <c r="C74" s="115" t="s">
        <v>846</v>
      </c>
      <c r="D74" s="115" t="s">
        <v>855</v>
      </c>
      <c r="E74" s="115" t="s">
        <v>921</v>
      </c>
      <c r="F74" s="115" t="s">
        <v>844</v>
      </c>
      <c r="G74" s="115" t="s">
        <v>1017</v>
      </c>
      <c r="H74" s="115" t="s">
        <v>897</v>
      </c>
    </row>
    <row r="75" spans="1:8" x14ac:dyDescent="0.35">
      <c r="A75" s="110" t="s">
        <v>973</v>
      </c>
      <c r="B75" s="111" t="s">
        <v>945</v>
      </c>
      <c r="C75" s="117" t="s">
        <v>1757</v>
      </c>
      <c r="D75" s="117" t="s">
        <v>1758</v>
      </c>
      <c r="E75" s="117" t="s">
        <v>1759</v>
      </c>
      <c r="F75" s="117" t="s">
        <v>1760</v>
      </c>
      <c r="G75" s="117" t="s">
        <v>1761</v>
      </c>
      <c r="H75" s="117" t="s">
        <v>1762</v>
      </c>
    </row>
    <row r="76" spans="1:8" ht="15" thickBot="1" x14ac:dyDescent="0.4">
      <c r="A76" s="113" t="s">
        <v>92</v>
      </c>
      <c r="B76" s="114"/>
      <c r="C76" s="115" t="s">
        <v>1763</v>
      </c>
      <c r="D76" s="115" t="s">
        <v>1680</v>
      </c>
      <c r="E76" s="115" t="s">
        <v>1039</v>
      </c>
      <c r="F76" s="115" t="s">
        <v>919</v>
      </c>
      <c r="G76" s="115" t="s">
        <v>1764</v>
      </c>
      <c r="H76" s="115" t="s">
        <v>918</v>
      </c>
    </row>
  </sheetData>
  <sortState xmlns:xlrd2="http://schemas.microsoft.com/office/spreadsheetml/2017/richdata2" columnSort="1" ref="C3:H76">
    <sortCondition ref="C3:H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6ADA-36B6-410A-8D68-7D336499FB4E}">
  <dimension ref="A1:H235"/>
  <sheetViews>
    <sheetView topLeftCell="A121" zoomScale="85" zoomScaleNormal="85" workbookViewId="0">
      <selection activeCell="C33" sqref="C33"/>
    </sheetView>
  </sheetViews>
  <sheetFormatPr defaultColWidth="9.1796875" defaultRowHeight="14.5" x14ac:dyDescent="0.35"/>
  <cols>
    <col min="1" max="1" width="36.54296875" bestFit="1" customWidth="1"/>
    <col min="2" max="3" width="36.54296875" customWidth="1"/>
    <col min="4" max="6" width="28.54296875" bestFit="1" customWidth="1"/>
    <col min="7" max="7" width="13.81640625" style="129" customWidth="1"/>
    <col min="8" max="8" width="16.81640625" style="129" customWidth="1"/>
    <col min="9" max="16384" width="9.1796875" style="129"/>
  </cols>
  <sheetData>
    <row r="1" spans="1:6" x14ac:dyDescent="0.35">
      <c r="A1" s="99" t="s">
        <v>1765</v>
      </c>
    </row>
    <row r="3" spans="1:6" x14ac:dyDescent="0.35">
      <c r="A3" s="100" t="s">
        <v>389</v>
      </c>
    </row>
    <row r="4" spans="1:6" ht="15" thickBot="1" x14ac:dyDescent="0.4">
      <c r="A4" s="100" t="s">
        <v>390</v>
      </c>
    </row>
    <row r="5" spans="1:6" ht="15" thickBot="1" x14ac:dyDescent="0.4">
      <c r="A5" s="175"/>
      <c r="B5" s="102">
        <v>2018</v>
      </c>
      <c r="C5" s="102">
        <v>2019</v>
      </c>
      <c r="D5" s="102">
        <v>2020</v>
      </c>
      <c r="E5" s="102">
        <v>2021</v>
      </c>
      <c r="F5" s="177">
        <v>2022</v>
      </c>
    </row>
    <row r="6" spans="1:6" ht="14.25" customHeight="1" thickBot="1" x14ac:dyDescent="0.4">
      <c r="A6" s="182" t="s">
        <v>312</v>
      </c>
      <c r="B6" s="180" t="s">
        <v>318</v>
      </c>
      <c r="C6" s="178" t="s">
        <v>319</v>
      </c>
      <c r="D6" s="178" t="s">
        <v>319</v>
      </c>
      <c r="E6" s="178" t="s">
        <v>320</v>
      </c>
      <c r="F6" s="179" t="s">
        <v>321</v>
      </c>
    </row>
    <row r="7" spans="1:6" ht="15" thickBot="1" x14ac:dyDescent="0.4">
      <c r="A7" s="160" t="s">
        <v>209</v>
      </c>
      <c r="B7" s="145" t="s">
        <v>327</v>
      </c>
      <c r="C7" s="145" t="s">
        <v>328</v>
      </c>
      <c r="D7" s="145" t="s">
        <v>210</v>
      </c>
      <c r="E7" s="145" t="s">
        <v>211</v>
      </c>
      <c r="F7" s="145" t="s">
        <v>212</v>
      </c>
    </row>
    <row r="8" spans="1:6" ht="15" thickBot="1" x14ac:dyDescent="0.4">
      <c r="A8" s="160" t="s">
        <v>391</v>
      </c>
      <c r="B8" s="145" t="s">
        <v>392</v>
      </c>
      <c r="C8" s="145" t="s">
        <v>392</v>
      </c>
      <c r="D8" s="145" t="s">
        <v>392</v>
      </c>
      <c r="E8" s="145" t="s">
        <v>392</v>
      </c>
      <c r="F8" s="145" t="s">
        <v>392</v>
      </c>
    </row>
    <row r="9" spans="1:6" ht="15" thickBot="1" x14ac:dyDescent="0.4">
      <c r="A9" s="160" t="s">
        <v>395</v>
      </c>
      <c r="B9" s="145" t="s">
        <v>327</v>
      </c>
      <c r="C9" s="145" t="s">
        <v>328</v>
      </c>
      <c r="D9" s="145" t="s">
        <v>210</v>
      </c>
      <c r="E9" s="145" t="s">
        <v>211</v>
      </c>
      <c r="F9" s="145" t="s">
        <v>212</v>
      </c>
    </row>
    <row r="10" spans="1:6" ht="15" thickBot="1" x14ac:dyDescent="0.4">
      <c r="A10" s="160" t="s">
        <v>396</v>
      </c>
      <c r="B10" s="145" t="s">
        <v>397</v>
      </c>
      <c r="C10" s="145" t="s">
        <v>397</v>
      </c>
      <c r="D10" s="145" t="s">
        <v>397</v>
      </c>
      <c r="E10" s="145" t="s">
        <v>397</v>
      </c>
      <c r="F10" s="145" t="s">
        <v>397</v>
      </c>
    </row>
    <row r="11" spans="1:6" ht="15" thickBot="1" x14ac:dyDescent="0.4">
      <c r="A11" s="160" t="s">
        <v>398</v>
      </c>
      <c r="B11" s="145" t="s">
        <v>399</v>
      </c>
      <c r="C11" s="145" t="s">
        <v>399</v>
      </c>
      <c r="D11" s="145" t="s">
        <v>399</v>
      </c>
      <c r="E11" s="145" t="s">
        <v>399</v>
      </c>
      <c r="F11" s="145" t="s">
        <v>987</v>
      </c>
    </row>
    <row r="12" spans="1:6" ht="15" thickBot="1" x14ac:dyDescent="0.4">
      <c r="A12" s="160" t="s">
        <v>402</v>
      </c>
      <c r="B12" s="145" t="s">
        <v>403</v>
      </c>
      <c r="C12" s="145" t="s">
        <v>403</v>
      </c>
      <c r="D12" s="145" t="s">
        <v>403</v>
      </c>
      <c r="E12" s="145" t="s">
        <v>403</v>
      </c>
      <c r="F12" s="145" t="s">
        <v>403</v>
      </c>
    </row>
    <row r="13" spans="1:6" ht="15" thickBot="1" x14ac:dyDescent="0.4">
      <c r="A13" s="160" t="s">
        <v>405</v>
      </c>
      <c r="B13" s="145" t="s">
        <v>406</v>
      </c>
      <c r="C13" s="145" t="s">
        <v>406</v>
      </c>
      <c r="D13" s="145" t="s">
        <v>406</v>
      </c>
      <c r="E13" s="145" t="s">
        <v>406</v>
      </c>
      <c r="F13" s="145" t="s">
        <v>406</v>
      </c>
    </row>
    <row r="14" spans="1:6" ht="15" thickBot="1" x14ac:dyDescent="0.4">
      <c r="A14" s="160" t="s">
        <v>407</v>
      </c>
      <c r="B14" s="145" t="s">
        <v>408</v>
      </c>
      <c r="C14" s="145" t="s">
        <v>409</v>
      </c>
      <c r="D14" s="145" t="s">
        <v>410</v>
      </c>
      <c r="E14" s="145" t="s">
        <v>411</v>
      </c>
      <c r="F14" s="145" t="s">
        <v>412</v>
      </c>
    </row>
    <row r="15" spans="1:6" ht="15" thickBot="1" x14ac:dyDescent="0.4">
      <c r="A15" s="160" t="s">
        <v>413</v>
      </c>
      <c r="B15" s="145" t="s">
        <v>414</v>
      </c>
      <c r="C15" s="145" t="s">
        <v>415</v>
      </c>
      <c r="D15" s="145" t="s">
        <v>416</v>
      </c>
      <c r="E15" s="145" t="s">
        <v>417</v>
      </c>
      <c r="F15" s="145" t="s">
        <v>418</v>
      </c>
    </row>
    <row r="16" spans="1:6" ht="15" thickBot="1" x14ac:dyDescent="0.4">
      <c r="A16" s="160" t="s">
        <v>419</v>
      </c>
      <c r="B16" s="145" t="s">
        <v>420</v>
      </c>
      <c r="C16" s="145" t="s">
        <v>420</v>
      </c>
      <c r="D16" s="145" t="s">
        <v>420</v>
      </c>
      <c r="E16" s="145" t="s">
        <v>420</v>
      </c>
      <c r="F16" s="145" t="s">
        <v>420</v>
      </c>
    </row>
    <row r="17" spans="1:8" ht="15" thickBot="1" x14ac:dyDescent="0.4">
      <c r="A17" s="160" t="s">
        <v>421</v>
      </c>
      <c r="B17" s="145" t="s">
        <v>422</v>
      </c>
      <c r="C17" s="145" t="s">
        <v>422</v>
      </c>
      <c r="D17" s="145" t="s">
        <v>422</v>
      </c>
      <c r="E17" s="145" t="s">
        <v>422</v>
      </c>
      <c r="F17" s="145" t="s">
        <v>422</v>
      </c>
    </row>
    <row r="18" spans="1:8" ht="15" thickBot="1" x14ac:dyDescent="0.4">
      <c r="A18" s="160" t="s">
        <v>423</v>
      </c>
      <c r="B18" s="145" t="s">
        <v>424</v>
      </c>
      <c r="C18" s="145" t="s">
        <v>424</v>
      </c>
      <c r="D18" s="145" t="s">
        <v>424</v>
      </c>
      <c r="E18" s="145" t="s">
        <v>424</v>
      </c>
      <c r="F18" s="145" t="s">
        <v>424</v>
      </c>
    </row>
    <row r="19" spans="1:8" ht="15" thickBot="1" x14ac:dyDescent="0.4">
      <c r="A19" s="160" t="s">
        <v>425</v>
      </c>
      <c r="B19" s="145" t="s">
        <v>426</v>
      </c>
      <c r="C19" s="145" t="s">
        <v>426</v>
      </c>
      <c r="D19" s="145" t="s">
        <v>426</v>
      </c>
      <c r="E19" s="145" t="s">
        <v>426</v>
      </c>
      <c r="F19" s="145" t="s">
        <v>426</v>
      </c>
    </row>
    <row r="20" spans="1:8" ht="15" thickBot="1" x14ac:dyDescent="0.4">
      <c r="A20" s="160" t="s">
        <v>427</v>
      </c>
      <c r="B20" s="145" t="s">
        <v>428</v>
      </c>
      <c r="C20" s="145" t="s">
        <v>428</v>
      </c>
      <c r="D20" s="145" t="s">
        <v>428</v>
      </c>
      <c r="E20" s="145" t="s">
        <v>428</v>
      </c>
      <c r="F20" s="145" t="s">
        <v>428</v>
      </c>
    </row>
    <row r="21" spans="1:8" x14ac:dyDescent="0.35">
      <c r="A21" s="160" t="s">
        <v>429</v>
      </c>
      <c r="B21" s="145" t="s">
        <v>430</v>
      </c>
      <c r="C21" s="145" t="s">
        <v>430</v>
      </c>
      <c r="D21" s="145" t="s">
        <v>430</v>
      </c>
      <c r="E21" s="145" t="s">
        <v>430</v>
      </c>
      <c r="F21" s="145" t="s">
        <v>430</v>
      </c>
    </row>
    <row r="22" spans="1:8" ht="27" customHeight="1" thickBot="1" x14ac:dyDescent="0.4">
      <c r="A22" s="98" t="s">
        <v>257</v>
      </c>
      <c r="B22" s="98"/>
      <c r="C22" s="98"/>
      <c r="D22" s="98"/>
      <c r="E22" s="98"/>
      <c r="F22" s="98"/>
      <c r="H22" s="166" t="s">
        <v>42</v>
      </c>
    </row>
    <row r="23" spans="1:8" ht="15" thickBot="1" x14ac:dyDescent="0.4">
      <c r="A23" s="164" t="s">
        <v>258</v>
      </c>
      <c r="B23" s="227">
        <v>10196537</v>
      </c>
      <c r="C23" s="227">
        <v>15100939</v>
      </c>
      <c r="D23" s="227">
        <v>19424923</v>
      </c>
      <c r="E23" s="227">
        <v>23374288</v>
      </c>
      <c r="F23" s="227">
        <v>19713999</v>
      </c>
      <c r="H23" s="230">
        <f>(F23-C23)/C23</f>
        <v>0.30548166574277269</v>
      </c>
    </row>
    <row r="24" spans="1:8" s="171" customFormat="1" ht="15" thickBot="1" x14ac:dyDescent="0.4">
      <c r="A24" s="176" t="s">
        <v>432</v>
      </c>
      <c r="B24" s="148">
        <v>1072610</v>
      </c>
      <c r="C24" s="148">
        <v>2378584</v>
      </c>
      <c r="D24" s="165">
        <v>863853</v>
      </c>
      <c r="E24" s="165">
        <v>1187350</v>
      </c>
      <c r="F24" s="227">
        <v>1327430</v>
      </c>
      <c r="H24" s="173">
        <f t="shared" ref="H24:H87" si="0">(F24-C24)/C24</f>
        <v>-0.44192427091076036</v>
      </c>
    </row>
    <row r="25" spans="1:8" ht="15" thickBot="1" x14ac:dyDescent="0.4">
      <c r="A25" s="174" t="s">
        <v>434</v>
      </c>
      <c r="B25" s="148">
        <v>450000</v>
      </c>
      <c r="C25" s="148">
        <v>286611</v>
      </c>
      <c r="D25" s="148">
        <v>1247390</v>
      </c>
      <c r="E25" s="148">
        <v>1161202</v>
      </c>
      <c r="F25" s="227">
        <v>972514</v>
      </c>
      <c r="H25" s="173">
        <f>(F25-C25)/C25</f>
        <v>2.3931495999804615</v>
      </c>
    </row>
    <row r="26" spans="1:8" ht="15" thickBot="1" x14ac:dyDescent="0.4">
      <c r="A26" s="174" t="s">
        <v>436</v>
      </c>
      <c r="B26" s="148">
        <v>8673927</v>
      </c>
      <c r="C26" s="148">
        <v>12435744</v>
      </c>
      <c r="D26" s="165">
        <v>17313680</v>
      </c>
      <c r="E26" s="165">
        <v>21025736</v>
      </c>
      <c r="F26" s="227">
        <v>17414055</v>
      </c>
      <c r="H26" s="173">
        <f t="shared" si="0"/>
        <v>0.40032273099221083</v>
      </c>
    </row>
    <row r="27" spans="1:8" ht="15" thickBot="1" x14ac:dyDescent="0.4">
      <c r="A27" s="164" t="s">
        <v>80</v>
      </c>
      <c r="B27" s="146">
        <v>3368754</v>
      </c>
      <c r="C27" s="146">
        <v>3457704</v>
      </c>
      <c r="D27" s="146">
        <v>4157129</v>
      </c>
      <c r="E27" s="146">
        <v>4355509</v>
      </c>
      <c r="F27" s="146">
        <v>4620497</v>
      </c>
      <c r="H27" s="173">
        <f t="shared" si="0"/>
        <v>0.33629049797206467</v>
      </c>
    </row>
    <row r="28" spans="1:8" ht="15" thickBot="1" x14ac:dyDescent="0.4">
      <c r="A28" s="174" t="s">
        <v>437</v>
      </c>
      <c r="B28" s="148">
        <v>3380017</v>
      </c>
      <c r="C28" s="148">
        <v>3474499</v>
      </c>
      <c r="D28" s="148">
        <v>4173563</v>
      </c>
      <c r="E28" s="148">
        <v>4367766</v>
      </c>
      <c r="F28" s="148">
        <v>4633943</v>
      </c>
      <c r="H28" s="173">
        <f t="shared" si="0"/>
        <v>0.3337010602104073</v>
      </c>
    </row>
    <row r="29" spans="1:8" ht="15" thickBot="1" x14ac:dyDescent="0.4">
      <c r="A29" s="174" t="s">
        <v>438</v>
      </c>
      <c r="B29" s="148">
        <v>-11263</v>
      </c>
      <c r="C29" s="148">
        <v>-16795</v>
      </c>
      <c r="D29" s="148">
        <v>-16434</v>
      </c>
      <c r="E29" s="148">
        <v>-12257</v>
      </c>
      <c r="F29" s="148">
        <v>-13446</v>
      </c>
      <c r="H29" s="173">
        <f t="shared" si="0"/>
        <v>-0.19940458469782674</v>
      </c>
    </row>
    <row r="30" spans="1:8" ht="15" thickBot="1" x14ac:dyDescent="0.4">
      <c r="A30" s="164" t="s">
        <v>439</v>
      </c>
      <c r="B30" s="146">
        <v>3906394</v>
      </c>
      <c r="C30" s="146">
        <v>3992935</v>
      </c>
      <c r="D30" s="146">
        <v>4732083</v>
      </c>
      <c r="E30" s="146">
        <v>5249456</v>
      </c>
      <c r="F30" s="146">
        <v>5621809</v>
      </c>
      <c r="H30" s="173">
        <f t="shared" si="0"/>
        <v>0.40793902229813406</v>
      </c>
    </row>
    <row r="31" spans="1:8" ht="15" thickBot="1" x14ac:dyDescent="0.4">
      <c r="A31" s="174" t="s">
        <v>440</v>
      </c>
      <c r="B31" s="148" t="s">
        <v>89</v>
      </c>
      <c r="C31" s="148">
        <v>31170</v>
      </c>
      <c r="D31" s="148">
        <v>150</v>
      </c>
      <c r="E31" s="148">
        <v>0</v>
      </c>
      <c r="F31" s="148">
        <v>0</v>
      </c>
      <c r="H31" s="173">
        <f t="shared" si="0"/>
        <v>-1</v>
      </c>
    </row>
    <row r="32" spans="1:8" ht="15" thickBot="1" x14ac:dyDescent="0.4">
      <c r="A32" s="174" t="s">
        <v>441</v>
      </c>
      <c r="B32" s="148">
        <v>537640</v>
      </c>
      <c r="C32" s="148">
        <v>504060</v>
      </c>
      <c r="D32" s="148">
        <v>574804</v>
      </c>
      <c r="E32" s="148">
        <v>893947</v>
      </c>
      <c r="F32" s="148">
        <v>1001313</v>
      </c>
      <c r="H32" s="173">
        <f t="shared" si="0"/>
        <v>0.98649565527913341</v>
      </c>
    </row>
    <row r="33" spans="1:8" s="171" customFormat="1" ht="15" thickBot="1" x14ac:dyDescent="0.4">
      <c r="A33" s="172" t="s">
        <v>81</v>
      </c>
      <c r="B33" s="146">
        <v>5525846</v>
      </c>
      <c r="C33" s="146">
        <v>4983044</v>
      </c>
      <c r="D33" s="165">
        <v>4905069</v>
      </c>
      <c r="E33" s="165">
        <v>6773072</v>
      </c>
      <c r="F33" s="165">
        <v>5537563</v>
      </c>
      <c r="H33" s="230">
        <f t="shared" si="0"/>
        <v>0.11128117672651495</v>
      </c>
    </row>
    <row r="34" spans="1:8" ht="15" thickBot="1" x14ac:dyDescent="0.4">
      <c r="A34" s="174" t="s">
        <v>292</v>
      </c>
      <c r="B34" s="148">
        <v>1398512</v>
      </c>
      <c r="C34" s="148">
        <v>1377200</v>
      </c>
      <c r="D34" s="148">
        <v>1249009</v>
      </c>
      <c r="E34" s="148">
        <v>1196234</v>
      </c>
      <c r="F34" s="148">
        <v>1087965</v>
      </c>
      <c r="H34" s="173">
        <f t="shared" si="0"/>
        <v>-0.21001670055184432</v>
      </c>
    </row>
    <row r="35" spans="1:8" ht="15" thickBot="1" x14ac:dyDescent="0.4">
      <c r="A35" s="174" t="s">
        <v>293</v>
      </c>
      <c r="B35" s="148">
        <v>104353</v>
      </c>
      <c r="C35" s="148">
        <v>170681</v>
      </c>
      <c r="D35" s="148">
        <v>217924</v>
      </c>
      <c r="E35" s="148">
        <v>257787</v>
      </c>
      <c r="F35" s="227">
        <v>199435</v>
      </c>
      <c r="H35" s="173">
        <f t="shared" si="0"/>
        <v>0.16846632021138849</v>
      </c>
    </row>
    <row r="36" spans="1:8" ht="15" thickBot="1" x14ac:dyDescent="0.4">
      <c r="A36" s="174" t="s">
        <v>294</v>
      </c>
      <c r="B36" s="148">
        <v>2768993</v>
      </c>
      <c r="C36" s="148">
        <v>2661481</v>
      </c>
      <c r="D36" s="148">
        <v>2923632</v>
      </c>
      <c r="E36" s="148">
        <v>4226624</v>
      </c>
      <c r="F36" s="227">
        <v>3365993</v>
      </c>
      <c r="H36" s="173">
        <f t="shared" si="0"/>
        <v>0.26470675537416949</v>
      </c>
    </row>
    <row r="37" spans="1:8" ht="15" thickBot="1" x14ac:dyDescent="0.4">
      <c r="A37" s="174" t="s">
        <v>295</v>
      </c>
      <c r="B37" s="148">
        <v>1253987</v>
      </c>
      <c r="C37" s="148">
        <v>773682</v>
      </c>
      <c r="D37" s="148">
        <v>514504</v>
      </c>
      <c r="E37" s="148">
        <v>1092427</v>
      </c>
      <c r="F37" s="148">
        <v>884170</v>
      </c>
      <c r="H37" s="173">
        <f t="shared" si="0"/>
        <v>0.14280802707055354</v>
      </c>
    </row>
    <row r="38" spans="1:8" ht="15" thickBot="1" x14ac:dyDescent="0.4">
      <c r="A38" s="181" t="s">
        <v>87</v>
      </c>
      <c r="B38" s="150">
        <v>930979</v>
      </c>
      <c r="C38" s="150">
        <v>644647</v>
      </c>
      <c r="D38" s="150">
        <v>603651</v>
      </c>
      <c r="E38" s="150">
        <v>713095</v>
      </c>
      <c r="F38" s="150">
        <v>687011</v>
      </c>
      <c r="H38" s="173">
        <f t="shared" si="0"/>
        <v>6.5716585976511172E-2</v>
      </c>
    </row>
    <row r="39" spans="1:8" ht="15" thickBot="1" x14ac:dyDescent="0.4">
      <c r="A39" s="164" t="s">
        <v>442</v>
      </c>
      <c r="B39" s="146" t="s">
        <v>89</v>
      </c>
      <c r="C39" s="146" t="s">
        <v>89</v>
      </c>
      <c r="D39" s="146" t="s">
        <v>89</v>
      </c>
      <c r="E39" s="146" t="s">
        <v>89</v>
      </c>
      <c r="F39" s="146" t="s">
        <v>89</v>
      </c>
      <c r="H39" s="173" t="e">
        <f t="shared" si="0"/>
        <v>#VALUE!</v>
      </c>
    </row>
    <row r="40" spans="1:8" ht="15" thickBot="1" x14ac:dyDescent="0.4">
      <c r="A40" s="174" t="s">
        <v>1766</v>
      </c>
      <c r="B40" s="148" t="s">
        <v>89</v>
      </c>
      <c r="C40" s="148" t="s">
        <v>89</v>
      </c>
      <c r="D40" s="148" t="s">
        <v>89</v>
      </c>
      <c r="E40" s="148" t="s">
        <v>89</v>
      </c>
      <c r="F40" s="148" t="s">
        <v>89</v>
      </c>
      <c r="H40" s="173" t="e">
        <f t="shared" si="0"/>
        <v>#VALUE!</v>
      </c>
    </row>
    <row r="41" spans="1:8" s="171" customFormat="1" ht="15" thickBot="1" x14ac:dyDescent="0.4">
      <c r="A41" s="172" t="s">
        <v>443</v>
      </c>
      <c r="B41" s="150">
        <v>20559757</v>
      </c>
      <c r="C41" s="150">
        <v>24721565</v>
      </c>
      <c r="D41" s="165">
        <v>29665726</v>
      </c>
      <c r="E41" s="165">
        <v>36109911</v>
      </c>
      <c r="F41" s="165">
        <v>31560382</v>
      </c>
      <c r="H41" s="173">
        <f t="shared" si="0"/>
        <v>0.27663365972178539</v>
      </c>
    </row>
    <row r="42" spans="1:8" ht="15" thickBot="1" x14ac:dyDescent="0.4">
      <c r="A42" s="151"/>
      <c r="B42" s="261">
        <f>SUM(B23,B27,B30,B33)</f>
        <v>22997531</v>
      </c>
      <c r="C42" s="151"/>
      <c r="D42" s="151"/>
      <c r="E42" s="151"/>
      <c r="F42" s="151"/>
      <c r="H42" s="173" t="e">
        <f t="shared" si="0"/>
        <v>#DIV/0!</v>
      </c>
    </row>
    <row r="43" spans="1:8" s="171" customFormat="1" ht="15" thickBot="1" x14ac:dyDescent="0.4">
      <c r="A43" s="172" t="s">
        <v>444</v>
      </c>
      <c r="B43" s="146">
        <v>23820606</v>
      </c>
      <c r="C43" s="146">
        <v>27171282</v>
      </c>
      <c r="D43" s="165">
        <v>28100269</v>
      </c>
      <c r="E43" s="165">
        <v>28775367</v>
      </c>
      <c r="F43" s="165">
        <v>30307287</v>
      </c>
      <c r="H43" s="173">
        <f t="shared" si="0"/>
        <v>0.11541615886950053</v>
      </c>
    </row>
    <row r="44" spans="1:8" ht="15" thickBot="1" x14ac:dyDescent="0.4">
      <c r="A44" s="174" t="s">
        <v>445</v>
      </c>
      <c r="B44" s="148">
        <v>4495227</v>
      </c>
      <c r="C44" s="148">
        <v>5219431</v>
      </c>
      <c r="D44" s="148">
        <v>5572782</v>
      </c>
      <c r="E44" s="148">
        <v>5798921</v>
      </c>
      <c r="F44" s="148">
        <v>5881017</v>
      </c>
      <c r="H44" s="173">
        <f t="shared" si="0"/>
        <v>0.12675442974531131</v>
      </c>
    </row>
    <row r="45" spans="1:8" ht="15" thickBot="1" x14ac:dyDescent="0.4">
      <c r="A45" s="174" t="s">
        <v>446</v>
      </c>
      <c r="B45" s="148">
        <v>16796305</v>
      </c>
      <c r="C45" s="148">
        <v>19034706</v>
      </c>
      <c r="D45" s="148">
        <v>19480777</v>
      </c>
      <c r="E45" s="148">
        <v>19811260</v>
      </c>
      <c r="F45" s="148">
        <v>20499699</v>
      </c>
      <c r="H45" s="173">
        <f t="shared" si="0"/>
        <v>7.6964309299024633E-2</v>
      </c>
    </row>
    <row r="46" spans="1:8" ht="15" thickBot="1" x14ac:dyDescent="0.4">
      <c r="A46" s="174" t="s">
        <v>448</v>
      </c>
      <c r="B46" s="148">
        <v>868246</v>
      </c>
      <c r="C46" s="148">
        <v>943846</v>
      </c>
      <c r="D46" s="148">
        <v>1062634</v>
      </c>
      <c r="E46" s="148">
        <v>1130024</v>
      </c>
      <c r="F46" s="148">
        <v>1805130</v>
      </c>
      <c r="H46" s="173">
        <f t="shared" si="0"/>
        <v>0.91252598411181485</v>
      </c>
    </row>
    <row r="47" spans="1:8" ht="15" thickBot="1" x14ac:dyDescent="0.4">
      <c r="A47" s="174" t="s">
        <v>450</v>
      </c>
      <c r="B47" s="148">
        <v>999183</v>
      </c>
      <c r="C47" s="148">
        <v>1248752</v>
      </c>
      <c r="D47" s="148">
        <v>1319902</v>
      </c>
      <c r="E47" s="148">
        <v>1332765</v>
      </c>
      <c r="F47" s="148">
        <v>1384952</v>
      </c>
      <c r="H47" s="173">
        <f t="shared" si="0"/>
        <v>0.10906889438415314</v>
      </c>
    </row>
    <row r="48" spans="1:8" ht="15" thickBot="1" x14ac:dyDescent="0.4">
      <c r="A48" s="174" t="s">
        <v>452</v>
      </c>
      <c r="B48" s="148">
        <v>661645</v>
      </c>
      <c r="C48" s="148">
        <v>724547</v>
      </c>
      <c r="D48" s="148">
        <v>664174</v>
      </c>
      <c r="E48" s="148">
        <v>702397</v>
      </c>
      <c r="F48" s="148">
        <v>736490</v>
      </c>
      <c r="H48" s="173">
        <f t="shared" si="0"/>
        <v>1.6483402733018009E-2</v>
      </c>
    </row>
    <row r="49" spans="1:8" ht="15" thickBot="1" x14ac:dyDescent="0.4">
      <c r="A49" s="164" t="s">
        <v>454</v>
      </c>
      <c r="B49" s="146">
        <v>13916017</v>
      </c>
      <c r="C49" s="146">
        <v>14687755</v>
      </c>
      <c r="D49" s="146">
        <v>13779940</v>
      </c>
      <c r="E49" s="146">
        <v>12750118</v>
      </c>
      <c r="F49" s="146">
        <v>12665496</v>
      </c>
      <c r="H49" s="173">
        <f t="shared" si="0"/>
        <v>-0.13768332873199479</v>
      </c>
    </row>
    <row r="50" spans="1:8" ht="15" thickBot="1" x14ac:dyDescent="0.4">
      <c r="A50" s="174" t="s">
        <v>456</v>
      </c>
      <c r="B50" s="148">
        <v>-9904589</v>
      </c>
      <c r="C50" s="148">
        <v>-12483527</v>
      </c>
      <c r="D50" s="148">
        <v>-14320328</v>
      </c>
      <c r="E50" s="148">
        <v>-16025248</v>
      </c>
      <c r="F50" s="148">
        <v>-17641791</v>
      </c>
      <c r="H50" s="173">
        <f t="shared" si="0"/>
        <v>0.41320565894558486</v>
      </c>
    </row>
    <row r="51" spans="1:8" s="171" customFormat="1" ht="15" thickBot="1" x14ac:dyDescent="0.4">
      <c r="A51" s="172" t="s">
        <v>458</v>
      </c>
      <c r="B51" s="146">
        <v>538340</v>
      </c>
      <c r="C51" s="146">
        <v>2366060</v>
      </c>
      <c r="D51" s="165">
        <v>2058548</v>
      </c>
      <c r="E51" s="165">
        <v>1813008</v>
      </c>
      <c r="F51" s="165">
        <v>1567468</v>
      </c>
      <c r="H51" s="173">
        <f t="shared" si="0"/>
        <v>-0.33751975858600375</v>
      </c>
    </row>
    <row r="52" spans="1:8" ht="15" thickBot="1" x14ac:dyDescent="0.4">
      <c r="A52" s="174" t="s">
        <v>460</v>
      </c>
      <c r="B52" s="148" t="s">
        <v>89</v>
      </c>
      <c r="C52" s="148" t="s">
        <v>89</v>
      </c>
      <c r="D52" s="148" t="s">
        <v>89</v>
      </c>
      <c r="E52" s="148">
        <v>2058548</v>
      </c>
      <c r="F52" s="148">
        <v>1813008</v>
      </c>
      <c r="H52" s="173" t="e">
        <f t="shared" si="0"/>
        <v>#VALUE!</v>
      </c>
    </row>
    <row r="53" spans="1:8" ht="15" thickBot="1" x14ac:dyDescent="0.4">
      <c r="A53" s="174" t="s">
        <v>462</v>
      </c>
      <c r="B53" s="148" t="s">
        <v>89</v>
      </c>
      <c r="C53" s="148" t="s">
        <v>89</v>
      </c>
      <c r="D53" s="148" t="s">
        <v>89</v>
      </c>
      <c r="E53" s="148">
        <v>-245540</v>
      </c>
      <c r="F53" s="148">
        <v>-245540</v>
      </c>
      <c r="H53" s="173" t="e">
        <f t="shared" si="0"/>
        <v>#VALUE!</v>
      </c>
    </row>
    <row r="54" spans="1:8" ht="15" thickBot="1" x14ac:dyDescent="0.4">
      <c r="A54" s="164" t="s">
        <v>464</v>
      </c>
      <c r="B54" s="146">
        <v>317582</v>
      </c>
      <c r="C54" s="146">
        <v>1149631</v>
      </c>
      <c r="D54" s="146">
        <v>1136501</v>
      </c>
      <c r="E54" s="146">
        <v>1086504</v>
      </c>
      <c r="F54" s="146">
        <v>1042841</v>
      </c>
      <c r="H54" s="173">
        <f t="shared" si="0"/>
        <v>-9.2890675355831565E-2</v>
      </c>
    </row>
    <row r="55" spans="1:8" ht="15" thickBot="1" x14ac:dyDescent="0.4">
      <c r="A55" s="174" t="s">
        <v>466</v>
      </c>
      <c r="B55" s="148">
        <v>475569</v>
      </c>
      <c r="C55" s="148">
        <v>1297665</v>
      </c>
      <c r="D55" s="148">
        <v>1338629</v>
      </c>
      <c r="E55" s="148">
        <v>1341665</v>
      </c>
      <c r="F55" s="148">
        <v>1353424</v>
      </c>
      <c r="H55" s="173">
        <f t="shared" si="0"/>
        <v>4.2968716887640493E-2</v>
      </c>
    </row>
    <row r="56" spans="1:8" ht="15" thickBot="1" x14ac:dyDescent="0.4">
      <c r="A56" s="174" t="s">
        <v>468</v>
      </c>
      <c r="B56" s="148">
        <v>-157987</v>
      </c>
      <c r="C56" s="148">
        <v>-148034</v>
      </c>
      <c r="D56" s="148">
        <v>-202128</v>
      </c>
      <c r="E56" s="148">
        <v>-255161</v>
      </c>
      <c r="F56" s="148">
        <v>-310582</v>
      </c>
      <c r="H56" s="173">
        <f t="shared" si="0"/>
        <v>1.0980450437061755</v>
      </c>
    </row>
    <row r="57" spans="1:8" ht="15" thickBot="1" x14ac:dyDescent="0.4">
      <c r="A57" s="164" t="s">
        <v>470</v>
      </c>
      <c r="B57" s="146">
        <v>1158909</v>
      </c>
      <c r="C57" s="146">
        <v>1048694</v>
      </c>
      <c r="D57" s="146">
        <v>1033438</v>
      </c>
      <c r="E57" s="146">
        <v>803912</v>
      </c>
      <c r="F57" s="146">
        <v>800264</v>
      </c>
      <c r="H57" s="173">
        <f t="shared" si="0"/>
        <v>-0.23689465182407832</v>
      </c>
    </row>
    <row r="58" spans="1:8" ht="15" thickBot="1" x14ac:dyDescent="0.4">
      <c r="A58" s="174" t="s">
        <v>472</v>
      </c>
      <c r="B58" s="148">
        <v>497499</v>
      </c>
      <c r="C58" s="148">
        <v>688113</v>
      </c>
      <c r="D58" s="148">
        <v>686486</v>
      </c>
      <c r="E58" s="148">
        <v>661024</v>
      </c>
      <c r="F58" s="148">
        <v>664303</v>
      </c>
      <c r="H58" s="173">
        <f t="shared" si="0"/>
        <v>-3.4601874982742663E-2</v>
      </c>
    </row>
    <row r="59" spans="1:8" ht="15" thickBot="1" x14ac:dyDescent="0.4">
      <c r="A59" s="174" t="s">
        <v>474</v>
      </c>
      <c r="B59" s="148">
        <v>661410</v>
      </c>
      <c r="C59" s="148">
        <v>360582</v>
      </c>
      <c r="D59" s="148">
        <v>346952</v>
      </c>
      <c r="E59" s="148">
        <v>142888</v>
      </c>
      <c r="F59" s="148">
        <v>135961</v>
      </c>
      <c r="H59" s="173">
        <f t="shared" si="0"/>
        <v>-0.62294013566955642</v>
      </c>
    </row>
    <row r="60" spans="1:8" s="171" customFormat="1" ht="15" thickBot="1" x14ac:dyDescent="0.4">
      <c r="A60" s="172" t="s">
        <v>476</v>
      </c>
      <c r="B60" s="150">
        <v>88443</v>
      </c>
      <c r="C60" s="150">
        <v>21170</v>
      </c>
      <c r="D60" s="165">
        <v>19974</v>
      </c>
      <c r="E60" s="165">
        <v>16695</v>
      </c>
      <c r="F60" s="165">
        <v>38423</v>
      </c>
      <c r="H60" s="173">
        <f t="shared" si="0"/>
        <v>0.81497401983939532</v>
      </c>
    </row>
    <row r="61" spans="1:8" ht="15" thickBot="1" x14ac:dyDescent="0.4">
      <c r="A61" s="164" t="s">
        <v>477</v>
      </c>
      <c r="B61" s="146">
        <v>787060</v>
      </c>
      <c r="C61" s="146">
        <v>704998</v>
      </c>
      <c r="D61" s="146">
        <v>738353</v>
      </c>
      <c r="E61" s="146">
        <v>752256</v>
      </c>
      <c r="F61" s="146">
        <v>807790</v>
      </c>
      <c r="H61" s="173">
        <f t="shared" si="0"/>
        <v>0.14580466894941546</v>
      </c>
    </row>
    <row r="62" spans="1:8" ht="15" thickBot="1" x14ac:dyDescent="0.4">
      <c r="A62" s="174" t="s">
        <v>479</v>
      </c>
      <c r="B62" s="148">
        <v>750599</v>
      </c>
      <c r="C62" s="148">
        <v>678630</v>
      </c>
      <c r="D62" s="148">
        <v>713499</v>
      </c>
      <c r="E62" s="148">
        <v>725108</v>
      </c>
      <c r="F62" s="148">
        <v>772805</v>
      </c>
      <c r="H62" s="173">
        <f t="shared" si="0"/>
        <v>0.13877223229152852</v>
      </c>
    </row>
    <row r="63" spans="1:8" s="171" customFormat="1" ht="15" thickBot="1" x14ac:dyDescent="0.4">
      <c r="A63" s="176" t="s">
        <v>481</v>
      </c>
      <c r="B63" s="148">
        <v>36461</v>
      </c>
      <c r="C63" s="148">
        <v>26367</v>
      </c>
      <c r="D63" s="165">
        <v>24854</v>
      </c>
      <c r="E63" s="165">
        <v>27148</v>
      </c>
      <c r="F63" s="165">
        <v>34985</v>
      </c>
      <c r="H63" s="173">
        <f t="shared" si="0"/>
        <v>0.32684795388174614</v>
      </c>
    </row>
    <row r="64" spans="1:8" ht="15" thickBot="1" x14ac:dyDescent="0.4">
      <c r="A64" s="174" t="s">
        <v>1767</v>
      </c>
      <c r="B64" s="148" t="s">
        <v>89</v>
      </c>
      <c r="C64" s="148" t="s">
        <v>89</v>
      </c>
      <c r="D64" s="148" t="s">
        <v>89</v>
      </c>
      <c r="E64" s="148" t="s">
        <v>89</v>
      </c>
      <c r="F64" s="148" t="s">
        <v>89</v>
      </c>
      <c r="H64" s="173" t="e">
        <f t="shared" si="0"/>
        <v>#VALUE!</v>
      </c>
    </row>
    <row r="65" spans="1:8" s="229" customFormat="1" ht="15" thickBot="1" x14ac:dyDescent="0.4">
      <c r="A65" s="228" t="s">
        <v>483</v>
      </c>
      <c r="B65" s="227">
        <v>37366109</v>
      </c>
      <c r="C65" s="227">
        <v>44699873</v>
      </c>
      <c r="D65" s="227">
        <v>48432481</v>
      </c>
      <c r="E65" s="227">
        <v>53332403</v>
      </c>
      <c r="F65" s="227">
        <v>48482664</v>
      </c>
      <c r="H65" s="230">
        <f t="shared" si="0"/>
        <v>8.4626437305537761E-2</v>
      </c>
    </row>
    <row r="66" spans="1:8" x14ac:dyDescent="0.35">
      <c r="A66" s="151"/>
      <c r="B66" s="261">
        <f>SUM(B43,B51,B60,B63,B54,B57)</f>
        <v>25960341</v>
      </c>
      <c r="C66" s="151"/>
      <c r="D66" s="151"/>
      <c r="E66" s="151"/>
      <c r="F66" s="151"/>
      <c r="H66" s="173" t="e">
        <f t="shared" si="0"/>
        <v>#DIV/0!</v>
      </c>
    </row>
    <row r="67" spans="1:8" ht="12" customHeight="1" thickBot="1" x14ac:dyDescent="0.4">
      <c r="A67" s="98" t="s">
        <v>486</v>
      </c>
      <c r="B67" s="98"/>
      <c r="C67" s="98"/>
      <c r="D67" s="98"/>
      <c r="E67" s="98"/>
      <c r="F67" s="98"/>
      <c r="H67" s="173" t="e">
        <f t="shared" si="0"/>
        <v>#DIV/0!</v>
      </c>
    </row>
    <row r="68" spans="1:8" ht="15" thickBot="1" x14ac:dyDescent="0.4">
      <c r="A68" s="181" t="s">
        <v>82</v>
      </c>
      <c r="B68" s="150">
        <v>3991065</v>
      </c>
      <c r="C68" s="150">
        <v>3648446</v>
      </c>
      <c r="D68" s="150">
        <v>3199186</v>
      </c>
      <c r="E68" s="150">
        <v>4213888</v>
      </c>
      <c r="F68" s="150">
        <v>4284158</v>
      </c>
      <c r="H68" s="173">
        <f t="shared" si="0"/>
        <v>0.17424185529948916</v>
      </c>
    </row>
    <row r="69" spans="1:8" ht="15" thickBot="1" x14ac:dyDescent="0.4">
      <c r="A69" s="181" t="s">
        <v>489</v>
      </c>
      <c r="B69" s="150" t="s">
        <v>89</v>
      </c>
      <c r="C69" s="150" t="s">
        <v>89</v>
      </c>
      <c r="D69" s="150" t="s">
        <v>89</v>
      </c>
      <c r="E69" s="150" t="s">
        <v>89</v>
      </c>
      <c r="F69" s="150" t="s">
        <v>89</v>
      </c>
      <c r="H69" s="173" t="e">
        <f t="shared" si="0"/>
        <v>#VALUE!</v>
      </c>
    </row>
    <row r="70" spans="1:8" ht="15" thickBot="1" x14ac:dyDescent="0.4">
      <c r="A70" s="181" t="s">
        <v>491</v>
      </c>
      <c r="B70" s="150">
        <v>2159517</v>
      </c>
      <c r="C70" s="150">
        <v>2611779</v>
      </c>
      <c r="D70" s="150">
        <v>2749213</v>
      </c>
      <c r="E70" s="150">
        <v>2629301</v>
      </c>
      <c r="F70" s="150">
        <v>2310952</v>
      </c>
      <c r="H70" s="173">
        <f t="shared" si="0"/>
        <v>-0.11518087862717329</v>
      </c>
    </row>
    <row r="71" spans="1:8" ht="15" thickBot="1" x14ac:dyDescent="0.4">
      <c r="A71" s="181" t="s">
        <v>492</v>
      </c>
      <c r="B71" s="150">
        <v>1002185</v>
      </c>
      <c r="C71" s="150">
        <v>5330653</v>
      </c>
      <c r="D71" s="170">
        <v>7295788</v>
      </c>
      <c r="E71" s="170">
        <v>9361726</v>
      </c>
      <c r="F71" s="170">
        <v>4848264</v>
      </c>
      <c r="H71" s="173">
        <f t="shared" si="0"/>
        <v>-9.0493416097427462E-2</v>
      </c>
    </row>
    <row r="72" spans="1:8" ht="15" thickBot="1" x14ac:dyDescent="0.4">
      <c r="A72" s="181" t="s">
        <v>495</v>
      </c>
      <c r="B72" s="150">
        <v>57863</v>
      </c>
      <c r="C72" s="150">
        <v>20808</v>
      </c>
      <c r="D72" s="150">
        <v>20709</v>
      </c>
      <c r="E72" s="150">
        <v>20628</v>
      </c>
      <c r="F72" s="150">
        <v>18865</v>
      </c>
      <c r="H72" s="173">
        <f t="shared" si="0"/>
        <v>-9.337754709727028E-2</v>
      </c>
    </row>
    <row r="73" spans="1:8" s="171" customFormat="1" ht="15" thickBot="1" x14ac:dyDescent="0.4">
      <c r="A73" s="172" t="s">
        <v>497</v>
      </c>
      <c r="B73" s="146">
        <v>3428963</v>
      </c>
      <c r="C73" s="146">
        <v>2831166</v>
      </c>
      <c r="D73" s="165">
        <v>947751</v>
      </c>
      <c r="E73" s="165">
        <v>842875</v>
      </c>
      <c r="F73" s="165">
        <v>3846182</v>
      </c>
      <c r="H73" s="173">
        <f t="shared" si="0"/>
        <v>0.35851518420325762</v>
      </c>
    </row>
    <row r="74" spans="1:8" ht="15" thickBot="1" x14ac:dyDescent="0.4">
      <c r="A74" s="174" t="s">
        <v>499</v>
      </c>
      <c r="B74" s="148">
        <v>542464</v>
      </c>
      <c r="C74" s="148">
        <v>247359</v>
      </c>
      <c r="D74" s="148">
        <v>127087</v>
      </c>
      <c r="E74" s="148">
        <v>70020</v>
      </c>
      <c r="F74" s="148">
        <v>165870</v>
      </c>
      <c r="H74" s="173">
        <f t="shared" si="0"/>
        <v>-0.32943616363261496</v>
      </c>
    </row>
    <row r="75" spans="1:8" ht="15" thickBot="1" x14ac:dyDescent="0.4">
      <c r="A75" s="174" t="s">
        <v>501</v>
      </c>
      <c r="B75" s="148">
        <v>341669</v>
      </c>
      <c r="C75" s="148">
        <v>619394</v>
      </c>
      <c r="D75" s="148">
        <v>659550</v>
      </c>
      <c r="E75" s="148">
        <v>648147</v>
      </c>
      <c r="F75" s="148">
        <v>598135</v>
      </c>
      <c r="H75" s="173">
        <f t="shared" si="0"/>
        <v>-3.4322256915630442E-2</v>
      </c>
    </row>
    <row r="76" spans="1:8" s="171" customFormat="1" ht="15" thickBot="1" x14ac:dyDescent="0.4">
      <c r="A76" s="176" t="s">
        <v>503</v>
      </c>
      <c r="B76" s="148">
        <v>2544830</v>
      </c>
      <c r="C76" s="148">
        <v>1964413</v>
      </c>
      <c r="D76" s="165">
        <v>161113</v>
      </c>
      <c r="E76" s="165">
        <v>124708</v>
      </c>
      <c r="F76" s="165">
        <v>3082177</v>
      </c>
      <c r="H76" s="173">
        <f t="shared" si="0"/>
        <v>0.56900661928016161</v>
      </c>
    </row>
    <row r="77" spans="1:8" ht="15" thickBot="1" x14ac:dyDescent="0.4">
      <c r="A77" s="181" t="s">
        <v>504</v>
      </c>
      <c r="B77" s="150">
        <v>10639592</v>
      </c>
      <c r="C77" s="150">
        <v>14442852</v>
      </c>
      <c r="D77" s="150">
        <v>14212646</v>
      </c>
      <c r="E77" s="150">
        <v>17068417</v>
      </c>
      <c r="F77" s="150">
        <v>15308423</v>
      </c>
      <c r="H77" s="173">
        <f t="shared" si="0"/>
        <v>5.9930753288893357E-2</v>
      </c>
    </row>
    <row r="78" spans="1:8" ht="15" thickBot="1" x14ac:dyDescent="0.4">
      <c r="A78" s="151"/>
      <c r="B78" s="151"/>
      <c r="C78" s="151"/>
      <c r="D78" s="151"/>
      <c r="E78" s="151"/>
      <c r="F78" s="151"/>
      <c r="H78" s="173" t="e">
        <f t="shared" si="0"/>
        <v>#DIV/0!</v>
      </c>
    </row>
    <row r="79" spans="1:8" s="171" customFormat="1" ht="15" thickBot="1" x14ac:dyDescent="0.4">
      <c r="A79" s="172" t="s">
        <v>507</v>
      </c>
      <c r="B79" s="146">
        <v>215799</v>
      </c>
      <c r="C79" s="146">
        <v>122993</v>
      </c>
      <c r="D79" s="165">
        <v>167422</v>
      </c>
      <c r="E79" s="165">
        <v>75636</v>
      </c>
      <c r="F79" s="165">
        <v>66029</v>
      </c>
      <c r="H79" s="173">
        <f t="shared" si="0"/>
        <v>-0.46314830925337214</v>
      </c>
    </row>
    <row r="80" spans="1:8" ht="15" thickBot="1" x14ac:dyDescent="0.4">
      <c r="A80" s="174" t="s">
        <v>509</v>
      </c>
      <c r="B80" s="148">
        <v>215799</v>
      </c>
      <c r="C80" s="148">
        <v>122993</v>
      </c>
      <c r="D80" s="169">
        <v>167422</v>
      </c>
      <c r="E80" s="169">
        <v>75636</v>
      </c>
      <c r="F80" s="169">
        <v>66029</v>
      </c>
      <c r="H80" s="173">
        <f t="shared" si="0"/>
        <v>-0.46314830925337214</v>
      </c>
    </row>
    <row r="81" spans="1:8" ht="15" thickBot="1" x14ac:dyDescent="0.4">
      <c r="A81" s="168" t="s">
        <v>10</v>
      </c>
      <c r="B81" s="150">
        <v>1275847</v>
      </c>
      <c r="C81" s="150">
        <v>5474454</v>
      </c>
      <c r="D81" s="167">
        <v>7483919</v>
      </c>
      <c r="E81" s="167">
        <v>9457990</v>
      </c>
      <c r="F81" s="167">
        <v>4933159</v>
      </c>
      <c r="H81" s="173">
        <f t="shared" si="0"/>
        <v>-9.887652722993015E-2</v>
      </c>
    </row>
    <row r="82" spans="1:8" ht="15" thickBot="1" x14ac:dyDescent="0.4">
      <c r="A82" s="164" t="s">
        <v>512</v>
      </c>
      <c r="B82" s="146">
        <v>204758</v>
      </c>
      <c r="C82" s="146">
        <v>374927</v>
      </c>
      <c r="D82" s="146">
        <v>345559</v>
      </c>
      <c r="E82" s="146">
        <v>316335</v>
      </c>
      <c r="F82" s="146">
        <v>287982</v>
      </c>
      <c r="H82" s="173">
        <f t="shared" si="0"/>
        <v>-0.23189847623670742</v>
      </c>
    </row>
    <row r="83" spans="1:8" ht="15" thickBot="1" x14ac:dyDescent="0.4">
      <c r="A83" s="174" t="s">
        <v>514</v>
      </c>
      <c r="B83" s="148">
        <v>204758</v>
      </c>
      <c r="C83" s="148">
        <v>374927</v>
      </c>
      <c r="D83" s="148">
        <v>345559</v>
      </c>
      <c r="E83" s="148">
        <v>316335</v>
      </c>
      <c r="F83" s="148">
        <v>287982</v>
      </c>
      <c r="H83" s="173">
        <f t="shared" si="0"/>
        <v>-0.23189847623670742</v>
      </c>
    </row>
    <row r="84" spans="1:8" ht="15" thickBot="1" x14ac:dyDescent="0.4">
      <c r="A84" s="181" t="s">
        <v>485</v>
      </c>
      <c r="B84" s="150">
        <v>490235</v>
      </c>
      <c r="C84" s="150">
        <v>2227197</v>
      </c>
      <c r="D84" s="150">
        <v>2349939</v>
      </c>
      <c r="E84" s="150">
        <v>2766835</v>
      </c>
      <c r="F84" s="150">
        <v>2967467</v>
      </c>
      <c r="H84" s="173">
        <f t="shared" si="0"/>
        <v>0.33237742328137115</v>
      </c>
    </row>
    <row r="85" spans="1:8" ht="15" thickBot="1" x14ac:dyDescent="0.4">
      <c r="A85" s="164" t="s">
        <v>517</v>
      </c>
      <c r="B85" s="146">
        <v>34591</v>
      </c>
      <c r="C85" s="146">
        <v>27846</v>
      </c>
      <c r="D85" s="146">
        <v>59731</v>
      </c>
      <c r="E85" s="146">
        <v>21901</v>
      </c>
      <c r="F85" s="146">
        <v>3712</v>
      </c>
      <c r="H85" s="173">
        <f t="shared" si="0"/>
        <v>-0.86669539610716084</v>
      </c>
    </row>
    <row r="86" spans="1:8" ht="15" thickBot="1" x14ac:dyDescent="0.4">
      <c r="A86" s="174" t="s">
        <v>519</v>
      </c>
      <c r="B86" s="148">
        <v>2513</v>
      </c>
      <c r="C86" s="148">
        <v>0</v>
      </c>
      <c r="D86" s="148" t="s">
        <v>89</v>
      </c>
      <c r="E86" s="148" t="s">
        <v>89</v>
      </c>
      <c r="F86" s="148" t="s">
        <v>89</v>
      </c>
      <c r="H86" s="173" t="e">
        <f t="shared" si="0"/>
        <v>#VALUE!</v>
      </c>
    </row>
    <row r="87" spans="1:8" ht="15" thickBot="1" x14ac:dyDescent="0.4">
      <c r="A87" s="174" t="s">
        <v>521</v>
      </c>
      <c r="B87" s="148">
        <v>32078</v>
      </c>
      <c r="C87" s="148">
        <v>27846</v>
      </c>
      <c r="D87" s="148">
        <v>59731</v>
      </c>
      <c r="E87" s="148">
        <v>21901</v>
      </c>
      <c r="F87" s="148">
        <v>3712</v>
      </c>
      <c r="H87" s="173">
        <f t="shared" si="0"/>
        <v>-0.86669539610716084</v>
      </c>
    </row>
    <row r="88" spans="1:8" ht="15" thickBot="1" x14ac:dyDescent="0.4">
      <c r="A88" s="181" t="s">
        <v>523</v>
      </c>
      <c r="B88" s="150">
        <v>11584974</v>
      </c>
      <c r="C88" s="150">
        <v>17195815</v>
      </c>
      <c r="D88" s="150">
        <v>17135298</v>
      </c>
      <c r="E88" s="150">
        <v>20249125</v>
      </c>
      <c r="F88" s="150">
        <v>18633613</v>
      </c>
      <c r="H88" s="173">
        <f t="shared" ref="H88:H151" si="1">(F88-C88)/C88</f>
        <v>8.3613251247469225E-2</v>
      </c>
    </row>
    <row r="89" spans="1:8" x14ac:dyDescent="0.35">
      <c r="A89" s="151"/>
      <c r="B89" s="151"/>
      <c r="C89" s="151"/>
      <c r="D89" s="151"/>
      <c r="E89" s="151"/>
      <c r="F89" s="151"/>
      <c r="H89" s="173" t="e">
        <f t="shared" si="1"/>
        <v>#DIV/0!</v>
      </c>
    </row>
    <row r="90" spans="1:8" ht="12" customHeight="1" thickBot="1" x14ac:dyDescent="0.4">
      <c r="A90" s="98" t="s">
        <v>526</v>
      </c>
      <c r="B90" s="98"/>
      <c r="C90" s="98"/>
      <c r="D90" s="98"/>
      <c r="E90" s="98"/>
      <c r="F90" s="98"/>
      <c r="H90" s="173" t="e">
        <f t="shared" si="1"/>
        <v>#DIV/0!</v>
      </c>
    </row>
    <row r="91" spans="1:8" ht="15" thickBot="1" x14ac:dyDescent="0.4">
      <c r="A91" s="181" t="s">
        <v>528</v>
      </c>
      <c r="B91" s="150" t="s">
        <v>89</v>
      </c>
      <c r="C91" s="150" t="s">
        <v>89</v>
      </c>
      <c r="D91" s="150" t="s">
        <v>89</v>
      </c>
      <c r="E91" s="150" t="s">
        <v>89</v>
      </c>
      <c r="F91" s="150" t="s">
        <v>89</v>
      </c>
      <c r="H91" s="173" t="e">
        <f t="shared" si="1"/>
        <v>#VALUE!</v>
      </c>
    </row>
    <row r="92" spans="1:8" ht="15" thickBot="1" x14ac:dyDescent="0.4">
      <c r="A92" s="181" t="s">
        <v>530</v>
      </c>
      <c r="B92" s="150" t="s">
        <v>89</v>
      </c>
      <c r="C92" s="150" t="s">
        <v>89</v>
      </c>
      <c r="D92" s="150" t="s">
        <v>89</v>
      </c>
      <c r="E92" s="150" t="s">
        <v>89</v>
      </c>
      <c r="F92" s="150" t="s">
        <v>89</v>
      </c>
      <c r="H92" s="173" t="e">
        <f t="shared" si="1"/>
        <v>#VALUE!</v>
      </c>
    </row>
    <row r="93" spans="1:8" ht="15" thickBot="1" x14ac:dyDescent="0.4">
      <c r="A93" s="164" t="s">
        <v>532</v>
      </c>
      <c r="B93" s="146">
        <v>17416878</v>
      </c>
      <c r="C93" s="146">
        <v>17416878</v>
      </c>
      <c r="D93" s="146">
        <v>20899554</v>
      </c>
      <c r="E93" s="146">
        <v>20899554</v>
      </c>
      <c r="F93" s="146">
        <v>20899554</v>
      </c>
      <c r="H93" s="173">
        <f t="shared" si="1"/>
        <v>0.19995983206634393</v>
      </c>
    </row>
    <row r="94" spans="1:8" ht="15" thickBot="1" x14ac:dyDescent="0.4">
      <c r="A94" s="174" t="s">
        <v>534</v>
      </c>
      <c r="B94" s="148">
        <v>17416878</v>
      </c>
      <c r="C94" s="148">
        <v>17416878</v>
      </c>
      <c r="D94" s="148">
        <v>20899554</v>
      </c>
      <c r="E94" s="148">
        <v>20899554</v>
      </c>
      <c r="F94" s="148">
        <v>20899554</v>
      </c>
      <c r="H94" s="173">
        <f t="shared" si="1"/>
        <v>0.19995983206634393</v>
      </c>
    </row>
    <row r="95" spans="1:8" ht="15" thickBot="1" x14ac:dyDescent="0.4">
      <c r="A95" s="181" t="s">
        <v>536</v>
      </c>
      <c r="B95" s="150">
        <v>0</v>
      </c>
      <c r="C95" s="150" t="s">
        <v>89</v>
      </c>
      <c r="D95" s="150" t="s">
        <v>89</v>
      </c>
      <c r="E95" s="150">
        <v>34111</v>
      </c>
      <c r="F95" s="150">
        <v>34111</v>
      </c>
      <c r="H95" s="173" t="e">
        <f t="shared" si="1"/>
        <v>#VALUE!</v>
      </c>
    </row>
    <row r="96" spans="1:8" ht="15" thickBot="1" x14ac:dyDescent="0.4">
      <c r="A96" s="181" t="s">
        <v>538</v>
      </c>
      <c r="B96" s="150">
        <v>7155434</v>
      </c>
      <c r="C96" s="150">
        <v>7875462</v>
      </c>
      <c r="D96" s="150">
        <v>6909726</v>
      </c>
      <c r="E96" s="150">
        <v>7594260</v>
      </c>
      <c r="F96" s="150">
        <v>3353468</v>
      </c>
      <c r="H96" s="173">
        <f t="shared" si="1"/>
        <v>-0.57418777463468174</v>
      </c>
    </row>
    <row r="97" spans="1:8" ht="15" thickBot="1" x14ac:dyDescent="0.4">
      <c r="A97" s="181" t="s">
        <v>540</v>
      </c>
      <c r="B97" s="150">
        <v>-10486</v>
      </c>
      <c r="C97" s="150">
        <v>-11645</v>
      </c>
      <c r="D97" s="150">
        <v>-11645</v>
      </c>
      <c r="E97" s="150">
        <v>0</v>
      </c>
      <c r="F97" s="150" t="s">
        <v>89</v>
      </c>
      <c r="H97" s="173" t="e">
        <f t="shared" si="1"/>
        <v>#VALUE!</v>
      </c>
    </row>
    <row r="98" spans="1:8" ht="15" thickBot="1" x14ac:dyDescent="0.4">
      <c r="A98" s="181" t="s">
        <v>542</v>
      </c>
      <c r="B98" s="150" t="s">
        <v>89</v>
      </c>
      <c r="C98" s="150" t="s">
        <v>89</v>
      </c>
      <c r="D98" s="150" t="s">
        <v>89</v>
      </c>
      <c r="E98" s="150" t="s">
        <v>89</v>
      </c>
      <c r="F98" s="150" t="s">
        <v>89</v>
      </c>
      <c r="H98" s="173" t="e">
        <f t="shared" si="1"/>
        <v>#VALUE!</v>
      </c>
    </row>
    <row r="99" spans="1:8" ht="15" thickBot="1" x14ac:dyDescent="0.4">
      <c r="A99" s="181" t="s">
        <v>544</v>
      </c>
      <c r="B99" s="150" t="s">
        <v>89</v>
      </c>
      <c r="C99" s="150" t="s">
        <v>89</v>
      </c>
      <c r="D99" s="150" t="s">
        <v>89</v>
      </c>
      <c r="E99" s="150" t="s">
        <v>89</v>
      </c>
      <c r="F99" s="150" t="s">
        <v>89</v>
      </c>
      <c r="H99" s="173" t="e">
        <f t="shared" si="1"/>
        <v>#VALUE!</v>
      </c>
    </row>
    <row r="100" spans="1:8" ht="15" thickBot="1" x14ac:dyDescent="0.4">
      <c r="A100" s="164" t="s">
        <v>546</v>
      </c>
      <c r="B100" s="146">
        <v>1219308</v>
      </c>
      <c r="C100" s="146">
        <v>2223363</v>
      </c>
      <c r="D100" s="146">
        <v>3499548</v>
      </c>
      <c r="E100" s="146">
        <v>4555353</v>
      </c>
      <c r="F100" s="146">
        <v>5561918</v>
      </c>
      <c r="H100" s="173">
        <f t="shared" si="1"/>
        <v>1.5015789144642597</v>
      </c>
    </row>
    <row r="101" spans="1:8" ht="15" thickBot="1" x14ac:dyDescent="0.4">
      <c r="A101" s="174" t="s">
        <v>548</v>
      </c>
      <c r="B101" s="148">
        <v>27636</v>
      </c>
      <c r="C101" s="148">
        <v>23174</v>
      </c>
      <c r="D101" s="148">
        <v>10647</v>
      </c>
      <c r="E101" s="148">
        <v>254</v>
      </c>
      <c r="F101" s="148">
        <v>92498</v>
      </c>
      <c r="H101" s="173">
        <f t="shared" si="1"/>
        <v>2.9914559420039701</v>
      </c>
    </row>
    <row r="102" spans="1:8" ht="15" thickBot="1" x14ac:dyDescent="0.4">
      <c r="A102" s="174" t="s">
        <v>550</v>
      </c>
      <c r="B102" s="148">
        <v>1191672</v>
      </c>
      <c r="C102" s="148">
        <v>2200188</v>
      </c>
      <c r="D102" s="148">
        <v>3488900</v>
      </c>
      <c r="E102" s="148">
        <v>4555100</v>
      </c>
      <c r="F102" s="148">
        <v>5469420</v>
      </c>
      <c r="H102" s="173">
        <f t="shared" si="1"/>
        <v>1.4858875696076881</v>
      </c>
    </row>
    <row r="103" spans="1:8" ht="15" thickBot="1" x14ac:dyDescent="0.4">
      <c r="A103" s="181" t="s">
        <v>552</v>
      </c>
      <c r="B103" s="150">
        <v>25781135</v>
      </c>
      <c r="C103" s="150">
        <v>27504058</v>
      </c>
      <c r="D103" s="150">
        <v>31297183</v>
      </c>
      <c r="E103" s="150">
        <v>33083279</v>
      </c>
      <c r="F103" s="150">
        <v>29849051</v>
      </c>
      <c r="H103" s="173">
        <f t="shared" si="1"/>
        <v>8.5259891467651797E-2</v>
      </c>
    </row>
    <row r="104" spans="1:8" ht="15" thickBot="1" x14ac:dyDescent="0.4">
      <c r="A104" s="151"/>
      <c r="B104" s="151"/>
      <c r="C104" s="151"/>
      <c r="D104" s="151"/>
      <c r="E104" s="151"/>
      <c r="F104" s="151"/>
      <c r="H104" s="173" t="e">
        <f t="shared" si="1"/>
        <v>#DIV/0!</v>
      </c>
    </row>
    <row r="105" spans="1:8" ht="15" thickBot="1" x14ac:dyDescent="0.4">
      <c r="A105" s="181" t="s">
        <v>555</v>
      </c>
      <c r="B105" s="150">
        <v>37366109</v>
      </c>
      <c r="C105" s="150">
        <v>44699873</v>
      </c>
      <c r="D105" s="150">
        <v>48432481</v>
      </c>
      <c r="E105" s="150">
        <v>53332403</v>
      </c>
      <c r="F105" s="150">
        <v>48482664</v>
      </c>
      <c r="H105" s="173">
        <f t="shared" si="1"/>
        <v>8.4626437305537761E-2</v>
      </c>
    </row>
    <row r="106" spans="1:8" x14ac:dyDescent="0.35">
      <c r="A106" s="151"/>
      <c r="B106" s="151"/>
      <c r="C106" s="151"/>
      <c r="D106" s="151"/>
      <c r="E106" s="151"/>
      <c r="F106" s="151"/>
      <c r="H106" s="173" t="e">
        <f t="shared" si="1"/>
        <v>#DIV/0!</v>
      </c>
    </row>
    <row r="107" spans="1:8" ht="12" customHeight="1" thickBot="1" x14ac:dyDescent="0.4">
      <c r="A107" s="98" t="s">
        <v>533</v>
      </c>
      <c r="B107" s="98"/>
      <c r="C107" s="98"/>
      <c r="D107" s="98"/>
      <c r="E107" s="98"/>
      <c r="F107" s="98"/>
      <c r="H107" s="173" t="e">
        <f t="shared" si="1"/>
        <v>#DIV/0!</v>
      </c>
    </row>
    <row r="108" spans="1:8" ht="15" thickBot="1" x14ac:dyDescent="0.4">
      <c r="A108" s="181" t="s">
        <v>559</v>
      </c>
      <c r="B108" s="150" t="s">
        <v>89</v>
      </c>
      <c r="C108" s="150" t="s">
        <v>89</v>
      </c>
      <c r="D108" s="150" t="s">
        <v>89</v>
      </c>
      <c r="E108" s="150" t="s">
        <v>89</v>
      </c>
      <c r="F108" s="150" t="s">
        <v>89</v>
      </c>
      <c r="H108" s="173" t="e">
        <f t="shared" si="1"/>
        <v>#VALUE!</v>
      </c>
    </row>
    <row r="109" spans="1:8" ht="15" thickBot="1" x14ac:dyDescent="0.4">
      <c r="A109" s="181" t="s">
        <v>561</v>
      </c>
      <c r="B109" s="150" t="s">
        <v>89</v>
      </c>
      <c r="C109" s="150" t="s">
        <v>89</v>
      </c>
      <c r="D109" s="150" t="s">
        <v>89</v>
      </c>
      <c r="E109" s="150" t="s">
        <v>89</v>
      </c>
      <c r="F109" s="150" t="s">
        <v>89</v>
      </c>
      <c r="H109" s="173" t="e">
        <f t="shared" si="1"/>
        <v>#VALUE!</v>
      </c>
    </row>
    <row r="110" spans="1:8" ht="15" thickBot="1" x14ac:dyDescent="0.4">
      <c r="A110" s="181" t="s">
        <v>563</v>
      </c>
      <c r="B110" s="150" t="s">
        <v>89</v>
      </c>
      <c r="C110" s="150" t="s">
        <v>89</v>
      </c>
      <c r="D110" s="150" t="s">
        <v>89</v>
      </c>
      <c r="E110" s="150" t="s">
        <v>89</v>
      </c>
      <c r="F110" s="150" t="s">
        <v>89</v>
      </c>
      <c r="H110" s="173" t="e">
        <f t="shared" si="1"/>
        <v>#VALUE!</v>
      </c>
    </row>
    <row r="111" spans="1:8" ht="15" thickBot="1" x14ac:dyDescent="0.4">
      <c r="A111" s="164" t="s">
        <v>565</v>
      </c>
      <c r="B111" s="146">
        <v>2090</v>
      </c>
      <c r="C111" s="146">
        <v>2090</v>
      </c>
      <c r="D111" s="146">
        <v>2090</v>
      </c>
      <c r="E111" s="146">
        <v>2090</v>
      </c>
      <c r="F111" s="146">
        <v>2090</v>
      </c>
      <c r="H111" s="173">
        <f t="shared" si="1"/>
        <v>0</v>
      </c>
    </row>
    <row r="112" spans="1:8" ht="15" thickBot="1" x14ac:dyDescent="0.4">
      <c r="A112" s="174" t="s">
        <v>567</v>
      </c>
      <c r="B112" s="148">
        <v>2090</v>
      </c>
      <c r="C112" s="148">
        <v>2090</v>
      </c>
      <c r="D112" s="148">
        <v>2090</v>
      </c>
      <c r="E112" s="148">
        <v>2090</v>
      </c>
      <c r="F112" s="148">
        <v>2090</v>
      </c>
      <c r="H112" s="173">
        <f t="shared" si="1"/>
        <v>0</v>
      </c>
    </row>
    <row r="113" spans="1:8" ht="15" thickBot="1" x14ac:dyDescent="0.4">
      <c r="A113" s="181" t="s">
        <v>569</v>
      </c>
      <c r="B113" s="150">
        <v>0</v>
      </c>
      <c r="C113" s="150">
        <v>0</v>
      </c>
      <c r="D113" s="150">
        <v>0</v>
      </c>
      <c r="E113" s="150">
        <v>0</v>
      </c>
      <c r="F113" s="150">
        <v>0</v>
      </c>
      <c r="H113" s="173" t="e">
        <f t="shared" si="1"/>
        <v>#DIV/0!</v>
      </c>
    </row>
    <row r="114" spans="1:8" ht="15" thickBot="1" x14ac:dyDescent="0.4">
      <c r="A114" s="181" t="s">
        <v>571</v>
      </c>
      <c r="B114" s="150" t="s">
        <v>89</v>
      </c>
      <c r="C114" s="150" t="s">
        <v>89</v>
      </c>
      <c r="D114" s="150" t="s">
        <v>89</v>
      </c>
      <c r="E114" s="150" t="s">
        <v>89</v>
      </c>
      <c r="F114" s="150" t="s">
        <v>89</v>
      </c>
      <c r="H114" s="173" t="e">
        <f t="shared" si="1"/>
        <v>#VALUE!</v>
      </c>
    </row>
    <row r="115" spans="1:8" ht="15" thickBot="1" x14ac:dyDescent="0.4">
      <c r="A115" s="181" t="s">
        <v>573</v>
      </c>
      <c r="B115" s="150" t="s">
        <v>89</v>
      </c>
      <c r="C115" s="150" t="s">
        <v>89</v>
      </c>
      <c r="D115" s="150" t="s">
        <v>89</v>
      </c>
      <c r="E115" s="150" t="s">
        <v>89</v>
      </c>
      <c r="F115" s="150" t="s">
        <v>89</v>
      </c>
      <c r="H115" s="173" t="e">
        <f t="shared" si="1"/>
        <v>#VALUE!</v>
      </c>
    </row>
    <row r="116" spans="1:8" ht="15" thickBot="1" x14ac:dyDescent="0.4">
      <c r="A116" s="181" t="s">
        <v>575</v>
      </c>
      <c r="B116" s="150" t="s">
        <v>89</v>
      </c>
      <c r="C116" s="150" t="s">
        <v>89</v>
      </c>
      <c r="D116" s="150" t="s">
        <v>89</v>
      </c>
      <c r="E116" s="150" t="s">
        <v>89</v>
      </c>
      <c r="F116" s="150" t="s">
        <v>89</v>
      </c>
      <c r="H116" s="173" t="e">
        <f t="shared" si="1"/>
        <v>#VALUE!</v>
      </c>
    </row>
    <row r="117" spans="1:8" ht="15" thickBot="1" x14ac:dyDescent="0.4">
      <c r="A117" s="181" t="s">
        <v>577</v>
      </c>
      <c r="B117" s="150" t="s">
        <v>89</v>
      </c>
      <c r="C117" s="150" t="s">
        <v>89</v>
      </c>
      <c r="D117" s="150" t="s">
        <v>89</v>
      </c>
      <c r="E117" s="150" t="s">
        <v>89</v>
      </c>
      <c r="F117" s="150" t="s">
        <v>89</v>
      </c>
      <c r="H117" s="173" t="e">
        <f t="shared" si="1"/>
        <v>#VALUE!</v>
      </c>
    </row>
    <row r="118" spans="1:8" ht="15" thickBot="1" x14ac:dyDescent="0.4">
      <c r="A118" s="181" t="s">
        <v>579</v>
      </c>
      <c r="B118" s="150" t="s">
        <v>89</v>
      </c>
      <c r="C118" s="150" t="s">
        <v>89</v>
      </c>
      <c r="D118" s="150" t="s">
        <v>89</v>
      </c>
      <c r="E118" s="150" t="s">
        <v>89</v>
      </c>
      <c r="F118" s="150" t="s">
        <v>89</v>
      </c>
      <c r="H118" s="173" t="e">
        <f t="shared" si="1"/>
        <v>#VALUE!</v>
      </c>
    </row>
    <row r="119" spans="1:8" ht="15" thickBot="1" x14ac:dyDescent="0.4">
      <c r="A119" s="181" t="s">
        <v>581</v>
      </c>
      <c r="B119" s="150" t="s">
        <v>89</v>
      </c>
      <c r="C119" s="150" t="s">
        <v>89</v>
      </c>
      <c r="D119" s="150" t="s">
        <v>89</v>
      </c>
      <c r="E119" s="150" t="s">
        <v>89</v>
      </c>
      <c r="F119" s="150" t="s">
        <v>89</v>
      </c>
      <c r="H119" s="173" t="e">
        <f t="shared" si="1"/>
        <v>#VALUE!</v>
      </c>
    </row>
    <row r="120" spans="1:8" ht="15" thickBot="1" x14ac:dyDescent="0.4">
      <c r="A120" s="181" t="s">
        <v>583</v>
      </c>
      <c r="B120" s="150" t="s">
        <v>89</v>
      </c>
      <c r="C120" s="150" t="s">
        <v>89</v>
      </c>
      <c r="D120" s="150" t="s">
        <v>89</v>
      </c>
      <c r="E120" s="150" t="s">
        <v>89</v>
      </c>
      <c r="F120" s="150" t="s">
        <v>89</v>
      </c>
      <c r="H120" s="173" t="e">
        <f t="shared" si="1"/>
        <v>#VALUE!</v>
      </c>
    </row>
    <row r="121" spans="1:8" ht="15" thickBot="1" x14ac:dyDescent="0.4">
      <c r="A121" s="181" t="s">
        <v>585</v>
      </c>
      <c r="B121" s="150" t="s">
        <v>89</v>
      </c>
      <c r="C121" s="150" t="s">
        <v>89</v>
      </c>
      <c r="D121" s="150" t="s">
        <v>89</v>
      </c>
      <c r="E121" s="150" t="s">
        <v>89</v>
      </c>
      <c r="F121" s="150" t="s">
        <v>89</v>
      </c>
      <c r="H121" s="173" t="e">
        <f t="shared" si="1"/>
        <v>#VALUE!</v>
      </c>
    </row>
    <row r="122" spans="1:8" ht="15" thickBot="1" x14ac:dyDescent="0.4">
      <c r="A122" s="181" t="s">
        <v>587</v>
      </c>
      <c r="B122" s="150" t="s">
        <v>89</v>
      </c>
      <c r="C122" s="150" t="s">
        <v>89</v>
      </c>
      <c r="D122" s="150" t="s">
        <v>89</v>
      </c>
      <c r="E122" s="150" t="s">
        <v>89</v>
      </c>
      <c r="F122" s="150" t="s">
        <v>89</v>
      </c>
      <c r="H122" s="173" t="e">
        <f t="shared" si="1"/>
        <v>#VALUE!</v>
      </c>
    </row>
    <row r="123" spans="1:8" ht="15" thickBot="1" x14ac:dyDescent="0.4">
      <c r="A123" s="181" t="s">
        <v>589</v>
      </c>
      <c r="B123" s="150" t="s">
        <v>89</v>
      </c>
      <c r="C123" s="150" t="s">
        <v>89</v>
      </c>
      <c r="D123" s="150" t="s">
        <v>89</v>
      </c>
      <c r="E123" s="150" t="s">
        <v>89</v>
      </c>
      <c r="F123" s="150" t="s">
        <v>89</v>
      </c>
      <c r="H123" s="173" t="e">
        <f t="shared" si="1"/>
        <v>#VALUE!</v>
      </c>
    </row>
    <row r="124" spans="1:8" ht="15" thickBot="1" x14ac:dyDescent="0.4">
      <c r="A124" s="181" t="s">
        <v>591</v>
      </c>
      <c r="B124" s="150" t="s">
        <v>89</v>
      </c>
      <c r="C124" s="150" t="s">
        <v>89</v>
      </c>
      <c r="D124" s="150" t="s">
        <v>89</v>
      </c>
      <c r="E124" s="150" t="s">
        <v>89</v>
      </c>
      <c r="F124" s="150" t="s">
        <v>89</v>
      </c>
      <c r="H124" s="173" t="e">
        <f t="shared" si="1"/>
        <v>#VALUE!</v>
      </c>
    </row>
    <row r="125" spans="1:8" ht="15" thickBot="1" x14ac:dyDescent="0.4">
      <c r="A125" s="181" t="s">
        <v>593</v>
      </c>
      <c r="B125" s="150" t="s">
        <v>89</v>
      </c>
      <c r="C125" s="150" t="s">
        <v>89</v>
      </c>
      <c r="D125" s="150">
        <v>2349939</v>
      </c>
      <c r="E125" s="150">
        <v>2766835</v>
      </c>
      <c r="F125" s="150">
        <v>2967467</v>
      </c>
      <c r="H125" s="173" t="e">
        <f t="shared" si="1"/>
        <v>#VALUE!</v>
      </c>
    </row>
    <row r="126" spans="1:8" ht="15" thickBot="1" x14ac:dyDescent="0.4">
      <c r="A126" s="181" t="s">
        <v>595</v>
      </c>
      <c r="B126" s="150">
        <v>25781135</v>
      </c>
      <c r="C126" s="150">
        <v>27504058</v>
      </c>
      <c r="D126" s="150">
        <v>33647122</v>
      </c>
      <c r="E126" s="150">
        <v>35850114</v>
      </c>
      <c r="F126" s="150">
        <v>32816518</v>
      </c>
      <c r="H126" s="173">
        <f t="shared" si="1"/>
        <v>0.19315186144531837</v>
      </c>
    </row>
    <row r="127" spans="1:8" ht="15" thickBot="1" x14ac:dyDescent="0.4">
      <c r="A127" s="181" t="s">
        <v>597</v>
      </c>
      <c r="B127" s="150">
        <v>8082</v>
      </c>
      <c r="C127" s="150">
        <v>9803</v>
      </c>
      <c r="D127" s="150">
        <v>9361</v>
      </c>
      <c r="E127" s="150">
        <v>9732</v>
      </c>
      <c r="F127" s="150">
        <v>9506</v>
      </c>
      <c r="H127" s="173">
        <f t="shared" si="1"/>
        <v>-3.0296847903702948E-2</v>
      </c>
    </row>
    <row r="128" spans="1:8" ht="15" thickBot="1" x14ac:dyDescent="0.4">
      <c r="A128" s="181" t="s">
        <v>599</v>
      </c>
      <c r="B128" s="150" t="s">
        <v>89</v>
      </c>
      <c r="C128" s="150" t="s">
        <v>89</v>
      </c>
      <c r="D128" s="150" t="s">
        <v>89</v>
      </c>
      <c r="E128" s="150" t="s">
        <v>89</v>
      </c>
      <c r="F128" s="150" t="s">
        <v>89</v>
      </c>
      <c r="H128" s="173" t="e">
        <f t="shared" si="1"/>
        <v>#VALUE!</v>
      </c>
    </row>
    <row r="129" spans="1:8" ht="15" thickBot="1" x14ac:dyDescent="0.4">
      <c r="A129" s="181" t="s">
        <v>601</v>
      </c>
      <c r="B129" s="150" t="s">
        <v>89</v>
      </c>
      <c r="C129" s="150" t="s">
        <v>89</v>
      </c>
      <c r="D129" s="150" t="s">
        <v>89</v>
      </c>
      <c r="E129" s="150" t="s">
        <v>89</v>
      </c>
      <c r="F129" s="150" t="s">
        <v>89</v>
      </c>
      <c r="H129" s="173" t="e">
        <f t="shared" si="1"/>
        <v>#VALUE!</v>
      </c>
    </row>
    <row r="130" spans="1:8" ht="15" thickBot="1" x14ac:dyDescent="0.4">
      <c r="A130" s="181" t="s">
        <v>603</v>
      </c>
      <c r="B130" s="150" t="s">
        <v>89</v>
      </c>
      <c r="C130" s="150" t="s">
        <v>89</v>
      </c>
      <c r="D130" s="150" t="s">
        <v>89</v>
      </c>
      <c r="E130" s="150" t="s">
        <v>89</v>
      </c>
      <c r="F130" s="150" t="s">
        <v>89</v>
      </c>
      <c r="H130" s="173" t="e">
        <f t="shared" si="1"/>
        <v>#VALUE!</v>
      </c>
    </row>
    <row r="131" spans="1:8" ht="15" thickBot="1" x14ac:dyDescent="0.4">
      <c r="A131" s="181" t="s">
        <v>605</v>
      </c>
      <c r="B131" s="150" t="s">
        <v>89</v>
      </c>
      <c r="C131" s="150" t="s">
        <v>89</v>
      </c>
      <c r="D131" s="150" t="s">
        <v>89</v>
      </c>
      <c r="E131" s="150" t="s">
        <v>89</v>
      </c>
      <c r="F131" s="150" t="s">
        <v>89</v>
      </c>
      <c r="H131" s="173" t="e">
        <f t="shared" si="1"/>
        <v>#VALUE!</v>
      </c>
    </row>
    <row r="132" spans="1:8" ht="15" thickBot="1" x14ac:dyDescent="0.4">
      <c r="A132" s="181" t="s">
        <v>607</v>
      </c>
      <c r="B132" s="150">
        <v>538340</v>
      </c>
      <c r="C132" s="150">
        <v>2366060</v>
      </c>
      <c r="D132" s="150">
        <v>2058548</v>
      </c>
      <c r="E132" s="150" t="s">
        <v>89</v>
      </c>
      <c r="F132" s="150" t="s">
        <v>89</v>
      </c>
      <c r="H132" s="173" t="e">
        <f t="shared" si="1"/>
        <v>#VALUE!</v>
      </c>
    </row>
    <row r="133" spans="1:8" ht="15" thickBot="1" x14ac:dyDescent="0.4">
      <c r="A133" s="181" t="s">
        <v>609</v>
      </c>
      <c r="B133" s="150" t="s">
        <v>89</v>
      </c>
      <c r="C133" s="150" t="s">
        <v>89</v>
      </c>
      <c r="D133" s="150" t="s">
        <v>89</v>
      </c>
      <c r="E133" s="150">
        <v>245540</v>
      </c>
      <c r="F133" s="150">
        <v>245540</v>
      </c>
      <c r="H133" s="173" t="e">
        <f t="shared" si="1"/>
        <v>#VALUE!</v>
      </c>
    </row>
    <row r="134" spans="1:8" ht="15" thickBot="1" x14ac:dyDescent="0.4">
      <c r="A134" s="181" t="s">
        <v>611</v>
      </c>
      <c r="B134" s="150">
        <v>157987</v>
      </c>
      <c r="C134" s="150">
        <v>148034</v>
      </c>
      <c r="D134" s="150">
        <v>202128</v>
      </c>
      <c r="E134" s="150">
        <v>255161</v>
      </c>
      <c r="F134" s="150">
        <v>310582</v>
      </c>
      <c r="H134" s="173">
        <f t="shared" si="1"/>
        <v>1.0980450437061755</v>
      </c>
    </row>
    <row r="135" spans="1:8" ht="15" thickBot="1" x14ac:dyDescent="0.4">
      <c r="A135" s="181" t="s">
        <v>613</v>
      </c>
      <c r="B135" s="150" t="s">
        <v>89</v>
      </c>
      <c r="C135" s="150" t="s">
        <v>89</v>
      </c>
      <c r="D135" s="150" t="s">
        <v>89</v>
      </c>
      <c r="E135" s="150" t="s">
        <v>89</v>
      </c>
      <c r="F135" s="150" t="s">
        <v>89</v>
      </c>
      <c r="H135" s="173" t="e">
        <f t="shared" si="1"/>
        <v>#VALUE!</v>
      </c>
    </row>
    <row r="136" spans="1:8" ht="15" thickBot="1" x14ac:dyDescent="0.4">
      <c r="A136" s="181" t="s">
        <v>615</v>
      </c>
      <c r="B136" s="150" t="s">
        <v>89</v>
      </c>
      <c r="C136" s="150" t="s">
        <v>89</v>
      </c>
      <c r="D136" s="150" t="s">
        <v>89</v>
      </c>
      <c r="E136" s="150" t="s">
        <v>89</v>
      </c>
      <c r="F136" s="150" t="s">
        <v>89</v>
      </c>
      <c r="H136" s="173" t="e">
        <f t="shared" si="1"/>
        <v>#VALUE!</v>
      </c>
    </row>
    <row r="137" spans="1:8" ht="15" thickBot="1" x14ac:dyDescent="0.4">
      <c r="A137" s="181" t="s">
        <v>617</v>
      </c>
      <c r="B137" s="150" t="s">
        <v>89</v>
      </c>
      <c r="C137" s="150" t="s">
        <v>89</v>
      </c>
      <c r="D137" s="150" t="s">
        <v>89</v>
      </c>
      <c r="E137" s="150" t="s">
        <v>89</v>
      </c>
      <c r="F137" s="150" t="s">
        <v>89</v>
      </c>
      <c r="H137" s="173" t="e">
        <f t="shared" si="1"/>
        <v>#VALUE!</v>
      </c>
    </row>
    <row r="138" spans="1:8" ht="15" thickBot="1" x14ac:dyDescent="0.4">
      <c r="A138" s="181" t="s">
        <v>619</v>
      </c>
      <c r="B138" s="150" t="s">
        <v>89</v>
      </c>
      <c r="C138" s="150" t="s">
        <v>89</v>
      </c>
      <c r="D138" s="150" t="s">
        <v>89</v>
      </c>
      <c r="E138" s="150" t="s">
        <v>89</v>
      </c>
      <c r="F138" s="150" t="s">
        <v>89</v>
      </c>
      <c r="H138" s="173" t="e">
        <f t="shared" si="1"/>
        <v>#VALUE!</v>
      </c>
    </row>
    <row r="139" spans="1:8" ht="15" thickBot="1" x14ac:dyDescent="0.4">
      <c r="A139" s="181" t="s">
        <v>621</v>
      </c>
      <c r="B139" s="150" t="s">
        <v>89</v>
      </c>
      <c r="C139" s="150" t="s">
        <v>89</v>
      </c>
      <c r="D139" s="150" t="s">
        <v>89</v>
      </c>
      <c r="E139" s="150" t="s">
        <v>89</v>
      </c>
      <c r="F139" s="150" t="s">
        <v>89</v>
      </c>
      <c r="H139" s="173" t="e">
        <f t="shared" si="1"/>
        <v>#VALUE!</v>
      </c>
    </row>
    <row r="140" spans="1:8" ht="15" thickBot="1" x14ac:dyDescent="0.4">
      <c r="A140" s="181" t="s">
        <v>623</v>
      </c>
      <c r="B140" s="150" t="s">
        <v>89</v>
      </c>
      <c r="C140" s="150" t="s">
        <v>89</v>
      </c>
      <c r="D140" s="150" t="s">
        <v>89</v>
      </c>
      <c r="E140" s="150" t="s">
        <v>89</v>
      </c>
      <c r="F140" s="150" t="s">
        <v>89</v>
      </c>
      <c r="H140" s="173" t="e">
        <f t="shared" si="1"/>
        <v>#VALUE!</v>
      </c>
    </row>
    <row r="141" spans="1:8" ht="15" thickBot="1" x14ac:dyDescent="0.4">
      <c r="A141" s="181" t="s">
        <v>625</v>
      </c>
      <c r="B141" s="150" t="s">
        <v>89</v>
      </c>
      <c r="C141" s="150" t="s">
        <v>89</v>
      </c>
      <c r="D141" s="150" t="s">
        <v>89</v>
      </c>
      <c r="E141" s="150" t="s">
        <v>89</v>
      </c>
      <c r="F141" s="150" t="s">
        <v>89</v>
      </c>
      <c r="H141" s="173" t="e">
        <f t="shared" si="1"/>
        <v>#VALUE!</v>
      </c>
    </row>
    <row r="142" spans="1:8" ht="15" thickBot="1" x14ac:dyDescent="0.4">
      <c r="A142" s="181" t="s">
        <v>627</v>
      </c>
      <c r="B142" s="150" t="s">
        <v>89</v>
      </c>
      <c r="C142" s="150" t="s">
        <v>89</v>
      </c>
      <c r="D142" s="150" t="s">
        <v>89</v>
      </c>
      <c r="E142" s="150" t="s">
        <v>89</v>
      </c>
      <c r="F142" s="150" t="s">
        <v>89</v>
      </c>
      <c r="H142" s="173" t="e">
        <f t="shared" si="1"/>
        <v>#VALUE!</v>
      </c>
    </row>
    <row r="143" spans="1:8" ht="15" thickBot="1" x14ac:dyDescent="0.4">
      <c r="A143" s="181" t="s">
        <v>629</v>
      </c>
      <c r="B143" s="150" t="s">
        <v>89</v>
      </c>
      <c r="C143" s="150" t="s">
        <v>89</v>
      </c>
      <c r="D143" s="150" t="s">
        <v>89</v>
      </c>
      <c r="E143" s="150" t="s">
        <v>89</v>
      </c>
      <c r="F143" s="150" t="s">
        <v>89</v>
      </c>
      <c r="H143" s="173" t="e">
        <f t="shared" si="1"/>
        <v>#VALUE!</v>
      </c>
    </row>
    <row r="144" spans="1:8" ht="15" thickBot="1" x14ac:dyDescent="0.4">
      <c r="A144" s="181" t="s">
        <v>631</v>
      </c>
      <c r="B144" s="150" t="s">
        <v>89</v>
      </c>
      <c r="C144" s="150" t="s">
        <v>89</v>
      </c>
      <c r="D144" s="150" t="s">
        <v>89</v>
      </c>
      <c r="E144" s="150" t="s">
        <v>89</v>
      </c>
      <c r="F144" s="150" t="s">
        <v>89</v>
      </c>
      <c r="H144" s="173" t="e">
        <f t="shared" si="1"/>
        <v>#VALUE!</v>
      </c>
    </row>
    <row r="145" spans="1:8" ht="15" thickBot="1" x14ac:dyDescent="0.4">
      <c r="A145" s="181" t="s">
        <v>633</v>
      </c>
      <c r="B145" s="150" t="s">
        <v>89</v>
      </c>
      <c r="C145" s="150" t="s">
        <v>89</v>
      </c>
      <c r="D145" s="150" t="s">
        <v>89</v>
      </c>
      <c r="E145" s="150" t="s">
        <v>89</v>
      </c>
      <c r="F145" s="150" t="s">
        <v>89</v>
      </c>
      <c r="H145" s="173" t="e">
        <f t="shared" si="1"/>
        <v>#VALUE!</v>
      </c>
    </row>
    <row r="146" spans="1:8" ht="15" thickBot="1" x14ac:dyDescent="0.4">
      <c r="A146" s="181" t="s">
        <v>635</v>
      </c>
      <c r="B146" s="150" t="s">
        <v>89</v>
      </c>
      <c r="C146" s="150" t="s">
        <v>89</v>
      </c>
      <c r="D146" s="150" t="s">
        <v>89</v>
      </c>
      <c r="E146" s="150" t="s">
        <v>89</v>
      </c>
      <c r="F146" s="150" t="s">
        <v>89</v>
      </c>
      <c r="H146" s="173" t="e">
        <f t="shared" si="1"/>
        <v>#VALUE!</v>
      </c>
    </row>
    <row r="147" spans="1:8" ht="15" thickBot="1" x14ac:dyDescent="0.4">
      <c r="A147" s="181" t="s">
        <v>637</v>
      </c>
      <c r="B147" s="150" t="s">
        <v>89</v>
      </c>
      <c r="C147" s="150" t="s">
        <v>89</v>
      </c>
      <c r="D147" s="150" t="s">
        <v>89</v>
      </c>
      <c r="E147" s="150" t="s">
        <v>89</v>
      </c>
      <c r="F147" s="150" t="s">
        <v>89</v>
      </c>
      <c r="H147" s="173" t="e">
        <f t="shared" si="1"/>
        <v>#VALUE!</v>
      </c>
    </row>
    <row r="148" spans="1:8" ht="15" thickBot="1" x14ac:dyDescent="0.4">
      <c r="A148" s="181" t="s">
        <v>639</v>
      </c>
      <c r="B148" s="150" t="s">
        <v>89</v>
      </c>
      <c r="C148" s="150" t="s">
        <v>89</v>
      </c>
      <c r="D148" s="150" t="s">
        <v>89</v>
      </c>
      <c r="E148" s="150" t="s">
        <v>89</v>
      </c>
      <c r="F148" s="150" t="s">
        <v>89</v>
      </c>
      <c r="H148" s="173" t="e">
        <f t="shared" si="1"/>
        <v>#VALUE!</v>
      </c>
    </row>
    <row r="149" spans="1:8" ht="15" thickBot="1" x14ac:dyDescent="0.4">
      <c r="A149" s="181" t="s">
        <v>641</v>
      </c>
      <c r="B149" s="150" t="s">
        <v>89</v>
      </c>
      <c r="C149" s="150" t="s">
        <v>89</v>
      </c>
      <c r="D149" s="150" t="s">
        <v>89</v>
      </c>
      <c r="E149" s="150" t="s">
        <v>89</v>
      </c>
      <c r="F149" s="150" t="s">
        <v>89</v>
      </c>
      <c r="H149" s="173" t="e">
        <f t="shared" si="1"/>
        <v>#VALUE!</v>
      </c>
    </row>
    <row r="150" spans="1:8" ht="15" thickBot="1" x14ac:dyDescent="0.4">
      <c r="A150" s="181" t="s">
        <v>643</v>
      </c>
      <c r="B150" s="150">
        <v>542464</v>
      </c>
      <c r="C150" s="150">
        <v>247359</v>
      </c>
      <c r="D150" s="150">
        <v>127087</v>
      </c>
      <c r="E150" s="150">
        <v>70020</v>
      </c>
      <c r="F150" s="150">
        <v>165870</v>
      </c>
      <c r="H150" s="173">
        <f t="shared" si="1"/>
        <v>-0.32943616363261496</v>
      </c>
    </row>
    <row r="151" spans="1:8" ht="15" thickBot="1" x14ac:dyDescent="0.4">
      <c r="A151" s="181" t="s">
        <v>645</v>
      </c>
      <c r="B151" s="150">
        <v>416</v>
      </c>
      <c r="C151" s="150">
        <v>0</v>
      </c>
      <c r="D151" s="150" t="s">
        <v>89</v>
      </c>
      <c r="E151" s="150" t="s">
        <v>89</v>
      </c>
      <c r="F151" s="150" t="s">
        <v>89</v>
      </c>
      <c r="H151" s="173" t="e">
        <f t="shared" si="1"/>
        <v>#VALUE!</v>
      </c>
    </row>
    <row r="152" spans="1:8" ht="15" thickBot="1" x14ac:dyDescent="0.4">
      <c r="A152" s="181" t="s">
        <v>647</v>
      </c>
      <c r="B152" s="150" t="s">
        <v>89</v>
      </c>
      <c r="C152" s="150" t="s">
        <v>89</v>
      </c>
      <c r="D152" s="150" t="s">
        <v>89</v>
      </c>
      <c r="E152" s="150" t="s">
        <v>89</v>
      </c>
      <c r="F152" s="150" t="s">
        <v>89</v>
      </c>
      <c r="H152" s="173" t="e">
        <f t="shared" ref="H152:H215" si="2">(F152-C152)/C152</f>
        <v>#VALUE!</v>
      </c>
    </row>
    <row r="153" spans="1:8" ht="15" thickBot="1" x14ac:dyDescent="0.4">
      <c r="A153" s="181" t="s">
        <v>649</v>
      </c>
      <c r="B153" s="150" t="s">
        <v>89</v>
      </c>
      <c r="C153" s="150" t="s">
        <v>89</v>
      </c>
      <c r="D153" s="150" t="s">
        <v>89</v>
      </c>
      <c r="E153" s="150" t="s">
        <v>89</v>
      </c>
      <c r="F153" s="150" t="s">
        <v>89</v>
      </c>
      <c r="H153" s="173" t="e">
        <f t="shared" si="2"/>
        <v>#VALUE!</v>
      </c>
    </row>
    <row r="154" spans="1:8" ht="15" thickBot="1" x14ac:dyDescent="0.4">
      <c r="A154" s="181" t="s">
        <v>651</v>
      </c>
      <c r="B154" s="150" t="s">
        <v>89</v>
      </c>
      <c r="C154" s="150" t="s">
        <v>89</v>
      </c>
      <c r="D154" s="150" t="s">
        <v>89</v>
      </c>
      <c r="E154" s="150" t="s">
        <v>89</v>
      </c>
      <c r="F154" s="150" t="s">
        <v>89</v>
      </c>
      <c r="H154" s="173" t="e">
        <f t="shared" si="2"/>
        <v>#VALUE!</v>
      </c>
    </row>
    <row r="155" spans="1:8" ht="15" thickBot="1" x14ac:dyDescent="0.4">
      <c r="A155" s="181" t="s">
        <v>653</v>
      </c>
      <c r="B155" s="150" t="s">
        <v>89</v>
      </c>
      <c r="C155" s="150" t="s">
        <v>89</v>
      </c>
      <c r="D155" s="150" t="s">
        <v>89</v>
      </c>
      <c r="E155" s="150" t="s">
        <v>89</v>
      </c>
      <c r="F155" s="150" t="s">
        <v>89</v>
      </c>
      <c r="H155" s="173" t="e">
        <f t="shared" si="2"/>
        <v>#VALUE!</v>
      </c>
    </row>
    <row r="156" spans="1:8" ht="15" thickBot="1" x14ac:dyDescent="0.4">
      <c r="A156" s="181" t="s">
        <v>655</v>
      </c>
      <c r="B156" s="150" t="s">
        <v>89</v>
      </c>
      <c r="C156" s="150" t="s">
        <v>89</v>
      </c>
      <c r="D156" s="150" t="s">
        <v>89</v>
      </c>
      <c r="E156" s="150" t="s">
        <v>89</v>
      </c>
      <c r="F156" s="150" t="s">
        <v>89</v>
      </c>
      <c r="H156" s="173" t="e">
        <f t="shared" si="2"/>
        <v>#VALUE!</v>
      </c>
    </row>
    <row r="157" spans="1:8" ht="15" thickBot="1" x14ac:dyDescent="0.4">
      <c r="A157" s="181" t="s">
        <v>657</v>
      </c>
      <c r="B157" s="150" t="s">
        <v>89</v>
      </c>
      <c r="C157" s="150" t="s">
        <v>89</v>
      </c>
      <c r="D157" s="150" t="s">
        <v>89</v>
      </c>
      <c r="E157" s="150" t="s">
        <v>89</v>
      </c>
      <c r="F157" s="150" t="s">
        <v>89</v>
      </c>
      <c r="H157" s="173" t="e">
        <f t="shared" si="2"/>
        <v>#VALUE!</v>
      </c>
    </row>
    <row r="158" spans="1:8" ht="15" thickBot="1" x14ac:dyDescent="0.4">
      <c r="A158" s="181" t="s">
        <v>659</v>
      </c>
      <c r="B158" s="150" t="s">
        <v>89</v>
      </c>
      <c r="C158" s="150" t="s">
        <v>89</v>
      </c>
      <c r="D158" s="150" t="s">
        <v>89</v>
      </c>
      <c r="E158" s="150" t="s">
        <v>89</v>
      </c>
      <c r="F158" s="150" t="s">
        <v>89</v>
      </c>
      <c r="H158" s="173" t="e">
        <f t="shared" si="2"/>
        <v>#VALUE!</v>
      </c>
    </row>
    <row r="159" spans="1:8" ht="15" thickBot="1" x14ac:dyDescent="0.4">
      <c r="A159" s="181" t="s">
        <v>661</v>
      </c>
      <c r="B159" s="150" t="s">
        <v>89</v>
      </c>
      <c r="C159" s="150" t="s">
        <v>89</v>
      </c>
      <c r="D159" s="150" t="s">
        <v>89</v>
      </c>
      <c r="E159" s="150" t="s">
        <v>89</v>
      </c>
      <c r="F159" s="150" t="s">
        <v>89</v>
      </c>
      <c r="H159" s="173" t="e">
        <f t="shared" si="2"/>
        <v>#VALUE!</v>
      </c>
    </row>
    <row r="160" spans="1:8" ht="15" thickBot="1" x14ac:dyDescent="0.4">
      <c r="A160" s="181" t="s">
        <v>663</v>
      </c>
      <c r="B160" s="150" t="s">
        <v>89</v>
      </c>
      <c r="C160" s="150" t="s">
        <v>89</v>
      </c>
      <c r="D160" s="150" t="s">
        <v>89</v>
      </c>
      <c r="E160" s="150" t="s">
        <v>89</v>
      </c>
      <c r="F160" s="150" t="s">
        <v>89</v>
      </c>
      <c r="H160" s="173" t="e">
        <f t="shared" si="2"/>
        <v>#VALUE!</v>
      </c>
    </row>
    <row r="161" spans="1:8" ht="15" thickBot="1" x14ac:dyDescent="0.4">
      <c r="A161" s="181" t="s">
        <v>665</v>
      </c>
      <c r="B161" s="150" t="s">
        <v>89</v>
      </c>
      <c r="C161" s="150" t="s">
        <v>89</v>
      </c>
      <c r="D161" s="150" t="s">
        <v>89</v>
      </c>
      <c r="E161" s="150" t="s">
        <v>89</v>
      </c>
      <c r="F161" s="150" t="s">
        <v>89</v>
      </c>
      <c r="H161" s="173" t="e">
        <f t="shared" si="2"/>
        <v>#VALUE!</v>
      </c>
    </row>
    <row r="162" spans="1:8" ht="15" thickBot="1" x14ac:dyDescent="0.4">
      <c r="A162" s="181" t="s">
        <v>667</v>
      </c>
      <c r="B162" s="150" t="s">
        <v>89</v>
      </c>
      <c r="C162" s="150" t="s">
        <v>89</v>
      </c>
      <c r="D162" s="150" t="s">
        <v>89</v>
      </c>
      <c r="E162" s="150" t="s">
        <v>89</v>
      </c>
      <c r="F162" s="150" t="s">
        <v>89</v>
      </c>
      <c r="H162" s="173" t="e">
        <f t="shared" si="2"/>
        <v>#VALUE!</v>
      </c>
    </row>
    <row r="163" spans="1:8" ht="15" thickBot="1" x14ac:dyDescent="0.4">
      <c r="A163" s="181" t="s">
        <v>669</v>
      </c>
      <c r="B163" s="153" t="s">
        <v>89</v>
      </c>
      <c r="C163" s="153" t="s">
        <v>89</v>
      </c>
      <c r="D163" s="153" t="s">
        <v>89</v>
      </c>
      <c r="E163" s="153" t="s">
        <v>89</v>
      </c>
      <c r="F163" s="153" t="s">
        <v>89</v>
      </c>
      <c r="H163" s="173" t="e">
        <f t="shared" si="2"/>
        <v>#VALUE!</v>
      </c>
    </row>
    <row r="164" spans="1:8" ht="15" thickBot="1" x14ac:dyDescent="0.4">
      <c r="A164" s="181" t="s">
        <v>671</v>
      </c>
      <c r="B164" s="153" t="s">
        <v>89</v>
      </c>
      <c r="C164" s="153" t="s">
        <v>89</v>
      </c>
      <c r="D164" s="153" t="s">
        <v>89</v>
      </c>
      <c r="E164" s="153" t="s">
        <v>89</v>
      </c>
      <c r="F164" s="153" t="s">
        <v>89</v>
      </c>
      <c r="H164" s="173" t="e">
        <f t="shared" si="2"/>
        <v>#VALUE!</v>
      </c>
    </row>
    <row r="165" spans="1:8" ht="15" thickBot="1" x14ac:dyDescent="0.4">
      <c r="A165" s="181" t="s">
        <v>673</v>
      </c>
      <c r="B165" s="153" t="s">
        <v>89</v>
      </c>
      <c r="C165" s="153" t="s">
        <v>89</v>
      </c>
      <c r="D165" s="153" t="s">
        <v>89</v>
      </c>
      <c r="E165" s="153" t="s">
        <v>89</v>
      </c>
      <c r="F165" s="153" t="s">
        <v>89</v>
      </c>
      <c r="H165" s="173" t="e">
        <f t="shared" si="2"/>
        <v>#VALUE!</v>
      </c>
    </row>
    <row r="166" spans="1:8" ht="15" thickBot="1" x14ac:dyDescent="0.4">
      <c r="A166" s="181" t="s">
        <v>675</v>
      </c>
      <c r="B166" s="150" t="s">
        <v>89</v>
      </c>
      <c r="C166" s="150" t="s">
        <v>89</v>
      </c>
      <c r="D166" s="150" t="s">
        <v>89</v>
      </c>
      <c r="E166" s="150" t="s">
        <v>89</v>
      </c>
      <c r="F166" s="150" t="s">
        <v>89</v>
      </c>
      <c r="H166" s="173" t="e">
        <f t="shared" si="2"/>
        <v>#VALUE!</v>
      </c>
    </row>
    <row r="167" spans="1:8" ht="15" thickBot="1" x14ac:dyDescent="0.4">
      <c r="A167" s="181" t="s">
        <v>677</v>
      </c>
      <c r="B167" s="150" t="s">
        <v>89</v>
      </c>
      <c r="C167" s="150" t="s">
        <v>89</v>
      </c>
      <c r="D167" s="150" t="s">
        <v>89</v>
      </c>
      <c r="E167" s="150" t="s">
        <v>89</v>
      </c>
      <c r="F167" s="150" t="s">
        <v>89</v>
      </c>
      <c r="H167" s="173" t="e">
        <f t="shared" si="2"/>
        <v>#VALUE!</v>
      </c>
    </row>
    <row r="168" spans="1:8" ht="15" thickBot="1" x14ac:dyDescent="0.4">
      <c r="A168" s="181" t="s">
        <v>679</v>
      </c>
      <c r="B168" s="150" t="s">
        <v>89</v>
      </c>
      <c r="C168" s="150" t="s">
        <v>89</v>
      </c>
      <c r="D168" s="150" t="s">
        <v>89</v>
      </c>
      <c r="E168" s="150" t="s">
        <v>89</v>
      </c>
      <c r="F168" s="150" t="s">
        <v>89</v>
      </c>
      <c r="H168" s="173" t="e">
        <f t="shared" si="2"/>
        <v>#VALUE!</v>
      </c>
    </row>
    <row r="169" spans="1:8" ht="15" thickBot="1" x14ac:dyDescent="0.4">
      <c r="A169" s="181" t="s">
        <v>681</v>
      </c>
      <c r="B169" s="150" t="s">
        <v>89</v>
      </c>
      <c r="C169" s="150" t="s">
        <v>89</v>
      </c>
      <c r="D169" s="150" t="s">
        <v>89</v>
      </c>
      <c r="E169" s="150" t="s">
        <v>89</v>
      </c>
      <c r="F169" s="150" t="s">
        <v>89</v>
      </c>
      <c r="H169" s="173" t="e">
        <f t="shared" si="2"/>
        <v>#VALUE!</v>
      </c>
    </row>
    <row r="170" spans="1:8" ht="15" thickBot="1" x14ac:dyDescent="0.4">
      <c r="A170" s="181" t="s">
        <v>683</v>
      </c>
      <c r="B170" s="150" t="s">
        <v>89</v>
      </c>
      <c r="C170" s="150" t="s">
        <v>89</v>
      </c>
      <c r="D170" s="150" t="s">
        <v>89</v>
      </c>
      <c r="E170" s="150" t="s">
        <v>89</v>
      </c>
      <c r="F170" s="150" t="s">
        <v>89</v>
      </c>
      <c r="H170" s="173" t="e">
        <f t="shared" si="2"/>
        <v>#VALUE!</v>
      </c>
    </row>
    <row r="171" spans="1:8" ht="15" thickBot="1" x14ac:dyDescent="0.4">
      <c r="A171" s="181" t="s">
        <v>685</v>
      </c>
      <c r="B171" s="150" t="s">
        <v>89</v>
      </c>
      <c r="C171" s="150" t="s">
        <v>89</v>
      </c>
      <c r="D171" s="150" t="s">
        <v>89</v>
      </c>
      <c r="E171" s="150" t="s">
        <v>89</v>
      </c>
      <c r="F171" s="150" t="s">
        <v>89</v>
      </c>
      <c r="H171" s="173" t="e">
        <f t="shared" si="2"/>
        <v>#VALUE!</v>
      </c>
    </row>
    <row r="172" spans="1:8" ht="15" thickBot="1" x14ac:dyDescent="0.4">
      <c r="A172" s="181" t="s">
        <v>687</v>
      </c>
      <c r="B172" s="150" t="s">
        <v>89</v>
      </c>
      <c r="C172" s="150" t="s">
        <v>89</v>
      </c>
      <c r="D172" s="150" t="s">
        <v>89</v>
      </c>
      <c r="E172" s="150" t="s">
        <v>89</v>
      </c>
      <c r="F172" s="150" t="s">
        <v>89</v>
      </c>
      <c r="H172" s="173" t="e">
        <f t="shared" si="2"/>
        <v>#VALUE!</v>
      </c>
    </row>
    <row r="173" spans="1:8" ht="15" thickBot="1" x14ac:dyDescent="0.4">
      <c r="A173" s="181" t="s">
        <v>689</v>
      </c>
      <c r="B173" s="153" t="s">
        <v>89</v>
      </c>
      <c r="C173" s="153" t="s">
        <v>89</v>
      </c>
      <c r="D173" s="153" t="s">
        <v>89</v>
      </c>
      <c r="E173" s="153" t="s">
        <v>89</v>
      </c>
      <c r="F173" s="153" t="s">
        <v>89</v>
      </c>
      <c r="H173" s="173" t="e">
        <f t="shared" si="2"/>
        <v>#VALUE!</v>
      </c>
    </row>
    <row r="174" spans="1:8" ht="15" thickBot="1" x14ac:dyDescent="0.4">
      <c r="A174" s="181" t="s">
        <v>691</v>
      </c>
      <c r="B174" s="153" t="s">
        <v>89</v>
      </c>
      <c r="C174" s="153" t="s">
        <v>89</v>
      </c>
      <c r="D174" s="153" t="s">
        <v>89</v>
      </c>
      <c r="E174" s="153" t="s">
        <v>89</v>
      </c>
      <c r="F174" s="153" t="s">
        <v>89</v>
      </c>
      <c r="H174" s="173" t="e">
        <f t="shared" si="2"/>
        <v>#VALUE!</v>
      </c>
    </row>
    <row r="175" spans="1:8" ht="15" thickBot="1" x14ac:dyDescent="0.4">
      <c r="A175" s="181" t="s">
        <v>693</v>
      </c>
      <c r="B175" s="153" t="s">
        <v>89</v>
      </c>
      <c r="C175" s="153" t="s">
        <v>89</v>
      </c>
      <c r="D175" s="153" t="s">
        <v>89</v>
      </c>
      <c r="E175" s="153" t="s">
        <v>89</v>
      </c>
      <c r="F175" s="153" t="s">
        <v>89</v>
      </c>
      <c r="H175" s="173" t="e">
        <f t="shared" si="2"/>
        <v>#VALUE!</v>
      </c>
    </row>
    <row r="176" spans="1:8" ht="15" thickBot="1" x14ac:dyDescent="0.4">
      <c r="A176" s="181" t="s">
        <v>695</v>
      </c>
      <c r="B176" s="153" t="s">
        <v>89</v>
      </c>
      <c r="C176" s="153" t="s">
        <v>89</v>
      </c>
      <c r="D176" s="153" t="s">
        <v>89</v>
      </c>
      <c r="E176" s="153" t="s">
        <v>89</v>
      </c>
      <c r="F176" s="153" t="s">
        <v>89</v>
      </c>
      <c r="H176" s="173" t="e">
        <f t="shared" si="2"/>
        <v>#VALUE!</v>
      </c>
    </row>
    <row r="177" spans="1:8" ht="15" thickBot="1" x14ac:dyDescent="0.4">
      <c r="A177" s="181" t="s">
        <v>697</v>
      </c>
      <c r="B177" s="153" t="s">
        <v>89</v>
      </c>
      <c r="C177" s="153" t="s">
        <v>89</v>
      </c>
      <c r="D177" s="153" t="s">
        <v>89</v>
      </c>
      <c r="E177" s="153" t="s">
        <v>89</v>
      </c>
      <c r="F177" s="153" t="s">
        <v>89</v>
      </c>
      <c r="H177" s="173" t="e">
        <f t="shared" si="2"/>
        <v>#VALUE!</v>
      </c>
    </row>
    <row r="178" spans="1:8" ht="15" thickBot="1" x14ac:dyDescent="0.4">
      <c r="A178" s="181" t="s">
        <v>699</v>
      </c>
      <c r="B178" s="150" t="s">
        <v>89</v>
      </c>
      <c r="C178" s="150" t="s">
        <v>89</v>
      </c>
      <c r="D178" s="150" t="s">
        <v>89</v>
      </c>
      <c r="E178" s="150" t="s">
        <v>89</v>
      </c>
      <c r="F178" s="150" t="s">
        <v>89</v>
      </c>
      <c r="H178" s="173" t="e">
        <f t="shared" si="2"/>
        <v>#VALUE!</v>
      </c>
    </row>
    <row r="179" spans="1:8" ht="15" thickBot="1" x14ac:dyDescent="0.4">
      <c r="A179" s="181" t="s">
        <v>701</v>
      </c>
      <c r="B179" s="150" t="s">
        <v>89</v>
      </c>
      <c r="C179" s="150" t="s">
        <v>89</v>
      </c>
      <c r="D179" s="150" t="s">
        <v>89</v>
      </c>
      <c r="E179" s="150" t="s">
        <v>89</v>
      </c>
      <c r="F179" s="150" t="s">
        <v>89</v>
      </c>
      <c r="H179" s="173" t="e">
        <f t="shared" si="2"/>
        <v>#VALUE!</v>
      </c>
    </row>
    <row r="180" spans="1:8" ht="15" thickBot="1" x14ac:dyDescent="0.4">
      <c r="A180" s="181" t="s">
        <v>703</v>
      </c>
      <c r="B180" s="150" t="s">
        <v>89</v>
      </c>
      <c r="C180" s="150" t="s">
        <v>89</v>
      </c>
      <c r="D180" s="150" t="s">
        <v>89</v>
      </c>
      <c r="E180" s="150" t="s">
        <v>89</v>
      </c>
      <c r="F180" s="150" t="s">
        <v>89</v>
      </c>
      <c r="H180" s="173" t="e">
        <f t="shared" si="2"/>
        <v>#VALUE!</v>
      </c>
    </row>
    <row r="181" spans="1:8" ht="15" thickBot="1" x14ac:dyDescent="0.4">
      <c r="A181" s="181" t="s">
        <v>704</v>
      </c>
      <c r="B181" s="150" t="s">
        <v>89</v>
      </c>
      <c r="C181" s="150" t="s">
        <v>89</v>
      </c>
      <c r="D181" s="150" t="s">
        <v>89</v>
      </c>
      <c r="E181" s="150" t="s">
        <v>89</v>
      </c>
      <c r="F181" s="150" t="s">
        <v>89</v>
      </c>
      <c r="H181" s="173" t="e">
        <f t="shared" si="2"/>
        <v>#VALUE!</v>
      </c>
    </row>
    <row r="182" spans="1:8" ht="15" thickBot="1" x14ac:dyDescent="0.4">
      <c r="A182" s="181" t="s">
        <v>706</v>
      </c>
      <c r="B182" s="150" t="s">
        <v>89</v>
      </c>
      <c r="C182" s="150" t="s">
        <v>89</v>
      </c>
      <c r="D182" s="150" t="s">
        <v>89</v>
      </c>
      <c r="E182" s="150" t="s">
        <v>89</v>
      </c>
      <c r="F182" s="150" t="s">
        <v>89</v>
      </c>
      <c r="H182" s="173" t="e">
        <f t="shared" si="2"/>
        <v>#VALUE!</v>
      </c>
    </row>
    <row r="183" spans="1:8" ht="15" thickBot="1" x14ac:dyDescent="0.4">
      <c r="A183" s="181" t="s">
        <v>707</v>
      </c>
      <c r="B183" s="150" t="s">
        <v>89</v>
      </c>
      <c r="C183" s="150" t="s">
        <v>89</v>
      </c>
      <c r="D183" s="150" t="s">
        <v>89</v>
      </c>
      <c r="E183" s="150" t="s">
        <v>89</v>
      </c>
      <c r="F183" s="150" t="s">
        <v>89</v>
      </c>
      <c r="H183" s="173" t="e">
        <f t="shared" si="2"/>
        <v>#VALUE!</v>
      </c>
    </row>
    <row r="184" spans="1:8" ht="15" thickBot="1" x14ac:dyDescent="0.4">
      <c r="A184" s="181" t="s">
        <v>709</v>
      </c>
      <c r="B184" s="150" t="s">
        <v>89</v>
      </c>
      <c r="C184" s="150" t="s">
        <v>89</v>
      </c>
      <c r="D184" s="150" t="s">
        <v>89</v>
      </c>
      <c r="E184" s="150" t="s">
        <v>89</v>
      </c>
      <c r="F184" s="150" t="s">
        <v>89</v>
      </c>
      <c r="H184" s="173" t="e">
        <f t="shared" si="2"/>
        <v>#VALUE!</v>
      </c>
    </row>
    <row r="185" spans="1:8" ht="15" thickBot="1" x14ac:dyDescent="0.4">
      <c r="A185" s="181" t="s">
        <v>711</v>
      </c>
      <c r="B185" s="150">
        <v>15033911</v>
      </c>
      <c r="C185" s="150">
        <v>19738521</v>
      </c>
      <c r="D185" s="150">
        <v>24760657</v>
      </c>
      <c r="E185" s="150">
        <v>29336839</v>
      </c>
      <c r="F185" s="150">
        <v>26022819</v>
      </c>
      <c r="H185" s="173">
        <f t="shared" si="2"/>
        <v>0.31837734954913793</v>
      </c>
    </row>
    <row r="186" spans="1:8" ht="15" thickBot="1" x14ac:dyDescent="0.4">
      <c r="A186" s="181" t="s">
        <v>713</v>
      </c>
      <c r="B186" s="150" t="s">
        <v>89</v>
      </c>
      <c r="C186" s="150" t="s">
        <v>89</v>
      </c>
      <c r="D186" s="150" t="s">
        <v>89</v>
      </c>
      <c r="E186" s="150" t="s">
        <v>89</v>
      </c>
      <c r="F186" s="150" t="s">
        <v>89</v>
      </c>
      <c r="H186" s="173" t="e">
        <f t="shared" si="2"/>
        <v>#VALUE!</v>
      </c>
    </row>
    <row r="187" spans="1:8" ht="15" thickBot="1" x14ac:dyDescent="0.4">
      <c r="A187" s="181" t="s">
        <v>715</v>
      </c>
      <c r="B187" s="150" t="s">
        <v>89</v>
      </c>
      <c r="C187" s="150" t="s">
        <v>89</v>
      </c>
      <c r="D187" s="150" t="s">
        <v>89</v>
      </c>
      <c r="E187" s="150" t="s">
        <v>89</v>
      </c>
      <c r="F187" s="150" t="s">
        <v>89</v>
      </c>
      <c r="H187" s="173" t="e">
        <f t="shared" si="2"/>
        <v>#VALUE!</v>
      </c>
    </row>
    <row r="188" spans="1:8" ht="15" thickBot="1" x14ac:dyDescent="0.4">
      <c r="A188" s="181" t="s">
        <v>717</v>
      </c>
      <c r="B188" s="150" t="s">
        <v>89</v>
      </c>
      <c r="C188" s="150" t="s">
        <v>89</v>
      </c>
      <c r="D188" s="150" t="s">
        <v>89</v>
      </c>
      <c r="E188" s="150" t="s">
        <v>89</v>
      </c>
      <c r="F188" s="150" t="s">
        <v>89</v>
      </c>
      <c r="H188" s="173" t="e">
        <f t="shared" si="2"/>
        <v>#VALUE!</v>
      </c>
    </row>
    <row r="189" spans="1:8" ht="15" thickBot="1" x14ac:dyDescent="0.4">
      <c r="A189" s="181" t="s">
        <v>719</v>
      </c>
      <c r="B189" s="150" t="s">
        <v>89</v>
      </c>
      <c r="C189" s="150" t="s">
        <v>89</v>
      </c>
      <c r="D189" s="150" t="s">
        <v>89</v>
      </c>
      <c r="E189" s="150" t="s">
        <v>89</v>
      </c>
      <c r="F189" s="150" t="s">
        <v>89</v>
      </c>
      <c r="H189" s="173" t="e">
        <f t="shared" si="2"/>
        <v>#VALUE!</v>
      </c>
    </row>
    <row r="190" spans="1:8" ht="15" thickBot="1" x14ac:dyDescent="0.4">
      <c r="A190" s="181" t="s">
        <v>721</v>
      </c>
      <c r="B190" s="150" t="s">
        <v>89</v>
      </c>
      <c r="C190" s="150" t="s">
        <v>89</v>
      </c>
      <c r="D190" s="150" t="s">
        <v>89</v>
      </c>
      <c r="E190" s="150" t="s">
        <v>89</v>
      </c>
      <c r="F190" s="150" t="s">
        <v>89</v>
      </c>
      <c r="H190" s="173" t="e">
        <f t="shared" si="2"/>
        <v>#VALUE!</v>
      </c>
    </row>
    <row r="191" spans="1:8" ht="15" thickBot="1" x14ac:dyDescent="0.4">
      <c r="A191" s="181" t="s">
        <v>723</v>
      </c>
      <c r="B191" s="150" t="s">
        <v>89</v>
      </c>
      <c r="C191" s="150" t="s">
        <v>89</v>
      </c>
      <c r="D191" s="150" t="s">
        <v>89</v>
      </c>
      <c r="E191" s="150" t="s">
        <v>89</v>
      </c>
      <c r="F191" s="150" t="s">
        <v>89</v>
      </c>
      <c r="H191" s="173" t="e">
        <f t="shared" si="2"/>
        <v>#VALUE!</v>
      </c>
    </row>
    <row r="192" spans="1:8" ht="15" thickBot="1" x14ac:dyDescent="0.4">
      <c r="A192" s="181" t="s">
        <v>725</v>
      </c>
      <c r="B192" s="150" t="s">
        <v>89</v>
      </c>
      <c r="C192" s="150" t="s">
        <v>89</v>
      </c>
      <c r="D192" s="150" t="s">
        <v>89</v>
      </c>
      <c r="E192" s="150" t="s">
        <v>89</v>
      </c>
      <c r="F192" s="150" t="s">
        <v>89</v>
      </c>
      <c r="H192" s="173" t="e">
        <f t="shared" si="2"/>
        <v>#VALUE!</v>
      </c>
    </row>
    <row r="193" spans="1:8" ht="15" thickBot="1" x14ac:dyDescent="0.4">
      <c r="A193" s="181" t="s">
        <v>727</v>
      </c>
      <c r="B193" s="150">
        <v>-8430456</v>
      </c>
      <c r="C193" s="150">
        <v>-7399288</v>
      </c>
      <c r="D193" s="150">
        <v>-9591064</v>
      </c>
      <c r="E193" s="150">
        <v>-11149462</v>
      </c>
      <c r="F193" s="150">
        <v>-11813373</v>
      </c>
      <c r="H193" s="173">
        <f t="shared" si="2"/>
        <v>0.5965553712735604</v>
      </c>
    </row>
    <row r="194" spans="1:8" ht="15" thickBot="1" x14ac:dyDescent="0.4">
      <c r="A194" s="181" t="s">
        <v>729</v>
      </c>
      <c r="B194" s="150">
        <v>24925212</v>
      </c>
      <c r="C194" s="150">
        <v>23988368</v>
      </c>
      <c r="D194" s="150">
        <v>28102134</v>
      </c>
      <c r="E194" s="150">
        <v>30183767</v>
      </c>
      <c r="F194" s="150">
        <v>27238742</v>
      </c>
      <c r="H194" s="173">
        <f t="shared" si="2"/>
        <v>0.13549792132586927</v>
      </c>
    </row>
    <row r="195" spans="1:8" ht="15" thickBot="1" x14ac:dyDescent="0.4">
      <c r="A195" s="181" t="s">
        <v>731</v>
      </c>
      <c r="B195" s="150" t="s">
        <v>89</v>
      </c>
      <c r="C195" s="150" t="s">
        <v>89</v>
      </c>
      <c r="D195" s="150" t="s">
        <v>89</v>
      </c>
      <c r="E195" s="150" t="s">
        <v>89</v>
      </c>
      <c r="F195" s="150" t="s">
        <v>89</v>
      </c>
      <c r="H195" s="173" t="e">
        <f t="shared" si="2"/>
        <v>#VALUE!</v>
      </c>
    </row>
    <row r="196" spans="1:8" ht="15" thickBot="1" x14ac:dyDescent="0.4">
      <c r="A196" s="181" t="s">
        <v>733</v>
      </c>
      <c r="B196" s="150" t="s">
        <v>89</v>
      </c>
      <c r="C196" s="150" t="s">
        <v>89</v>
      </c>
      <c r="D196" s="150" t="s">
        <v>89</v>
      </c>
      <c r="E196" s="150" t="s">
        <v>89</v>
      </c>
      <c r="F196" s="150" t="s">
        <v>89</v>
      </c>
      <c r="H196" s="173" t="e">
        <f t="shared" si="2"/>
        <v>#VALUE!</v>
      </c>
    </row>
    <row r="197" spans="1:8" ht="15" thickBot="1" x14ac:dyDescent="0.4">
      <c r="A197" s="181" t="s">
        <v>738</v>
      </c>
      <c r="B197" s="150" t="s">
        <v>89</v>
      </c>
      <c r="C197" s="150" t="s">
        <v>89</v>
      </c>
      <c r="D197" s="150" t="s">
        <v>89</v>
      </c>
      <c r="E197" s="150" t="s">
        <v>89</v>
      </c>
      <c r="F197" s="150" t="s">
        <v>89</v>
      </c>
      <c r="H197" s="173" t="e">
        <f t="shared" si="2"/>
        <v>#VALUE!</v>
      </c>
    </row>
    <row r="198" spans="1:8" ht="15" thickBot="1" x14ac:dyDescent="0.4">
      <c r="A198" s="181" t="s">
        <v>740</v>
      </c>
      <c r="B198" s="150" t="s">
        <v>89</v>
      </c>
      <c r="C198" s="150" t="s">
        <v>89</v>
      </c>
      <c r="D198" s="150" t="s">
        <v>89</v>
      </c>
      <c r="E198" s="150" t="s">
        <v>89</v>
      </c>
      <c r="F198" s="150" t="s">
        <v>89</v>
      </c>
      <c r="H198" s="173" t="e">
        <f t="shared" si="2"/>
        <v>#VALUE!</v>
      </c>
    </row>
    <row r="199" spans="1:8" ht="15" thickBot="1" x14ac:dyDescent="0.4">
      <c r="A199" s="181" t="s">
        <v>745</v>
      </c>
      <c r="B199" s="150" t="s">
        <v>89</v>
      </c>
      <c r="C199" s="150" t="s">
        <v>89</v>
      </c>
      <c r="D199" s="150" t="s">
        <v>89</v>
      </c>
      <c r="E199" s="150" t="s">
        <v>89</v>
      </c>
      <c r="F199" s="150" t="s">
        <v>89</v>
      </c>
      <c r="H199" s="173" t="e">
        <f t="shared" si="2"/>
        <v>#VALUE!</v>
      </c>
    </row>
    <row r="200" spans="1:8" ht="15" thickBot="1" x14ac:dyDescent="0.4">
      <c r="A200" s="181" t="s">
        <v>746</v>
      </c>
      <c r="B200" s="152" t="s">
        <v>89</v>
      </c>
      <c r="C200" s="152" t="s">
        <v>89</v>
      </c>
      <c r="D200" s="152" t="s">
        <v>89</v>
      </c>
      <c r="E200" s="152" t="s">
        <v>89</v>
      </c>
      <c r="F200" s="152" t="s">
        <v>89</v>
      </c>
      <c r="H200" s="173" t="e">
        <f t="shared" si="2"/>
        <v>#VALUE!</v>
      </c>
    </row>
    <row r="201" spans="1:8" ht="15" thickBot="1" x14ac:dyDescent="0.4">
      <c r="A201" s="181" t="s">
        <v>750</v>
      </c>
      <c r="B201" s="153" t="s">
        <v>89</v>
      </c>
      <c r="C201" s="153" t="s">
        <v>89</v>
      </c>
      <c r="D201" s="153" t="s">
        <v>89</v>
      </c>
      <c r="E201" s="153" t="s">
        <v>89</v>
      </c>
      <c r="F201" s="153" t="s">
        <v>89</v>
      </c>
      <c r="H201" s="173" t="e">
        <f t="shared" si="2"/>
        <v>#VALUE!</v>
      </c>
    </row>
    <row r="202" spans="1:8" ht="15" thickBot="1" x14ac:dyDescent="0.4">
      <c r="A202" s="181" t="s">
        <v>752</v>
      </c>
      <c r="B202" s="153" t="s">
        <v>89</v>
      </c>
      <c r="C202" s="153" t="s">
        <v>89</v>
      </c>
      <c r="D202" s="153" t="s">
        <v>89</v>
      </c>
      <c r="E202" s="153" t="s">
        <v>89</v>
      </c>
      <c r="F202" s="153" t="s">
        <v>89</v>
      </c>
      <c r="H202" s="173" t="e">
        <f t="shared" si="2"/>
        <v>#VALUE!</v>
      </c>
    </row>
    <row r="203" spans="1:8" ht="15" thickBot="1" x14ac:dyDescent="0.4">
      <c r="A203" s="181" t="s">
        <v>755</v>
      </c>
      <c r="B203" s="150" t="s">
        <v>89</v>
      </c>
      <c r="C203" s="150" t="s">
        <v>89</v>
      </c>
      <c r="D203" s="150" t="s">
        <v>89</v>
      </c>
      <c r="E203" s="150" t="s">
        <v>89</v>
      </c>
      <c r="F203" s="150" t="s">
        <v>89</v>
      </c>
      <c r="H203" s="173" t="e">
        <f t="shared" si="2"/>
        <v>#VALUE!</v>
      </c>
    </row>
    <row r="204" spans="1:8" ht="15" thickBot="1" x14ac:dyDescent="0.4">
      <c r="A204" s="181" t="s">
        <v>759</v>
      </c>
      <c r="B204" s="150" t="s">
        <v>89</v>
      </c>
      <c r="C204" s="150" t="s">
        <v>89</v>
      </c>
      <c r="D204" s="150" t="s">
        <v>89</v>
      </c>
      <c r="E204" s="150" t="s">
        <v>89</v>
      </c>
      <c r="F204" s="150" t="s">
        <v>89</v>
      </c>
      <c r="H204" s="173" t="e">
        <f t="shared" si="2"/>
        <v>#VALUE!</v>
      </c>
    </row>
    <row r="205" spans="1:8" ht="15" thickBot="1" x14ac:dyDescent="0.4">
      <c r="A205" s="181" t="s">
        <v>760</v>
      </c>
      <c r="B205" s="150" t="s">
        <v>89</v>
      </c>
      <c r="C205" s="150" t="s">
        <v>89</v>
      </c>
      <c r="D205" s="150" t="s">
        <v>89</v>
      </c>
      <c r="E205" s="150" t="s">
        <v>89</v>
      </c>
      <c r="F205" s="150" t="s">
        <v>89</v>
      </c>
      <c r="H205" s="173" t="e">
        <f t="shared" si="2"/>
        <v>#VALUE!</v>
      </c>
    </row>
    <row r="206" spans="1:8" x14ac:dyDescent="0.35">
      <c r="A206" s="181" t="s">
        <v>694</v>
      </c>
      <c r="B206" s="150" t="s">
        <v>89</v>
      </c>
      <c r="C206" s="150" t="s">
        <v>89</v>
      </c>
      <c r="D206" s="150" t="s">
        <v>89</v>
      </c>
      <c r="E206" s="150" t="s">
        <v>89</v>
      </c>
      <c r="F206" s="150" t="s">
        <v>89</v>
      </c>
      <c r="H206" s="173" t="e">
        <f t="shared" si="2"/>
        <v>#VALUE!</v>
      </c>
    </row>
    <row r="207" spans="1:8" ht="12" customHeight="1" thickBot="1" x14ac:dyDescent="0.4">
      <c r="A207" s="98" t="s">
        <v>763</v>
      </c>
      <c r="B207" s="98"/>
      <c r="C207" s="98"/>
      <c r="D207" s="98"/>
      <c r="E207" s="98"/>
      <c r="F207" s="98"/>
      <c r="H207" s="173" t="e">
        <f t="shared" si="2"/>
        <v>#DIV/0!</v>
      </c>
    </row>
    <row r="208" spans="1:8" ht="15" thickBot="1" x14ac:dyDescent="0.4">
      <c r="A208" s="164" t="s">
        <v>766</v>
      </c>
      <c r="B208" s="146" t="s">
        <v>89</v>
      </c>
      <c r="C208" s="146" t="s">
        <v>89</v>
      </c>
      <c r="D208" s="146" t="s">
        <v>89</v>
      </c>
      <c r="E208" s="146" t="s">
        <v>89</v>
      </c>
      <c r="F208" s="146" t="s">
        <v>89</v>
      </c>
      <c r="H208" s="173" t="e">
        <f t="shared" si="2"/>
        <v>#VALUE!</v>
      </c>
    </row>
    <row r="209" spans="1:8" ht="15" thickBot="1" x14ac:dyDescent="0.4">
      <c r="A209" s="174" t="s">
        <v>1768</v>
      </c>
      <c r="B209" s="148" t="s">
        <v>89</v>
      </c>
      <c r="C209" s="148" t="s">
        <v>89</v>
      </c>
      <c r="D209" s="148" t="s">
        <v>89</v>
      </c>
      <c r="E209" s="148" t="s">
        <v>89</v>
      </c>
      <c r="F209" s="148" t="s">
        <v>89</v>
      </c>
      <c r="H209" s="173" t="e">
        <f t="shared" si="2"/>
        <v>#VALUE!</v>
      </c>
    </row>
    <row r="210" spans="1:8" ht="15" thickBot="1" x14ac:dyDescent="0.4">
      <c r="A210" s="174" t="s">
        <v>1769</v>
      </c>
      <c r="B210" s="148" t="s">
        <v>89</v>
      </c>
      <c r="C210" s="148" t="s">
        <v>89</v>
      </c>
      <c r="D210" s="148" t="s">
        <v>89</v>
      </c>
      <c r="E210" s="148" t="s">
        <v>89</v>
      </c>
      <c r="F210" s="148" t="s">
        <v>89</v>
      </c>
      <c r="H210" s="173" t="e">
        <f t="shared" si="2"/>
        <v>#VALUE!</v>
      </c>
    </row>
    <row r="211" spans="1:8" ht="15" thickBot="1" x14ac:dyDescent="0.4">
      <c r="A211" s="174" t="s">
        <v>1770</v>
      </c>
      <c r="B211" s="148" t="s">
        <v>89</v>
      </c>
      <c r="C211" s="148" t="s">
        <v>89</v>
      </c>
      <c r="D211" s="148" t="s">
        <v>89</v>
      </c>
      <c r="E211" s="148" t="s">
        <v>89</v>
      </c>
      <c r="F211" s="148" t="s">
        <v>89</v>
      </c>
      <c r="H211" s="173" t="e">
        <f t="shared" si="2"/>
        <v>#VALUE!</v>
      </c>
    </row>
    <row r="212" spans="1:8" ht="15" thickBot="1" x14ac:dyDescent="0.4">
      <c r="A212" s="174" t="s">
        <v>1771</v>
      </c>
      <c r="B212" s="148" t="s">
        <v>89</v>
      </c>
      <c r="C212" s="148" t="s">
        <v>89</v>
      </c>
      <c r="D212" s="148" t="s">
        <v>89</v>
      </c>
      <c r="E212" s="148" t="s">
        <v>89</v>
      </c>
      <c r="F212" s="148" t="s">
        <v>89</v>
      </c>
      <c r="H212" s="173" t="e">
        <f t="shared" si="2"/>
        <v>#VALUE!</v>
      </c>
    </row>
    <row r="213" spans="1:8" ht="15" thickBot="1" x14ac:dyDescent="0.4">
      <c r="A213" s="174" t="s">
        <v>1772</v>
      </c>
      <c r="B213" s="148" t="s">
        <v>89</v>
      </c>
      <c r="C213" s="148" t="s">
        <v>89</v>
      </c>
      <c r="D213" s="148" t="s">
        <v>89</v>
      </c>
      <c r="E213" s="148" t="s">
        <v>89</v>
      </c>
      <c r="F213" s="148" t="s">
        <v>89</v>
      </c>
      <c r="H213" s="173" t="e">
        <f t="shared" si="2"/>
        <v>#VALUE!</v>
      </c>
    </row>
    <row r="214" spans="1:8" ht="15" thickBot="1" x14ac:dyDescent="0.4">
      <c r="A214" s="174" t="s">
        <v>1773</v>
      </c>
      <c r="B214" s="148" t="s">
        <v>89</v>
      </c>
      <c r="C214" s="148" t="s">
        <v>89</v>
      </c>
      <c r="D214" s="148" t="s">
        <v>89</v>
      </c>
      <c r="E214" s="148" t="s">
        <v>89</v>
      </c>
      <c r="F214" s="148" t="s">
        <v>89</v>
      </c>
      <c r="H214" s="173" t="e">
        <f t="shared" si="2"/>
        <v>#VALUE!</v>
      </c>
    </row>
    <row r="215" spans="1:8" ht="15" thickBot="1" x14ac:dyDescent="0.4">
      <c r="A215" s="174" t="s">
        <v>1774</v>
      </c>
      <c r="B215" s="148" t="s">
        <v>89</v>
      </c>
      <c r="C215" s="148" t="s">
        <v>89</v>
      </c>
      <c r="D215" s="148" t="s">
        <v>89</v>
      </c>
      <c r="E215" s="148" t="s">
        <v>89</v>
      </c>
      <c r="F215" s="148" t="s">
        <v>89</v>
      </c>
      <c r="H215" s="173" t="e">
        <f t="shared" si="2"/>
        <v>#VALUE!</v>
      </c>
    </row>
    <row r="216" spans="1:8" ht="15" thickBot="1" x14ac:dyDescent="0.4">
      <c r="A216" s="174" t="s">
        <v>1775</v>
      </c>
      <c r="B216" s="148" t="s">
        <v>89</v>
      </c>
      <c r="C216" s="148" t="s">
        <v>89</v>
      </c>
      <c r="D216" s="148" t="s">
        <v>89</v>
      </c>
      <c r="E216" s="148" t="s">
        <v>89</v>
      </c>
      <c r="F216" s="148" t="s">
        <v>89</v>
      </c>
      <c r="H216" s="173" t="e">
        <f t="shared" ref="H216:H232" si="3">(F216-C216)/C216</f>
        <v>#VALUE!</v>
      </c>
    </row>
    <row r="217" spans="1:8" ht="15" thickBot="1" x14ac:dyDescent="0.4">
      <c r="A217" s="181" t="s">
        <v>767</v>
      </c>
      <c r="B217" s="150" t="s">
        <v>89</v>
      </c>
      <c r="C217" s="150" t="s">
        <v>89</v>
      </c>
      <c r="D217" s="150" t="s">
        <v>89</v>
      </c>
      <c r="E217" s="150" t="s">
        <v>89</v>
      </c>
      <c r="F217" s="150" t="s">
        <v>89</v>
      </c>
      <c r="H217" s="173" t="e">
        <f t="shared" si="3"/>
        <v>#VALUE!</v>
      </c>
    </row>
    <row r="218" spans="1:8" ht="15" thickBot="1" x14ac:dyDescent="0.4">
      <c r="A218" s="164" t="s">
        <v>768</v>
      </c>
      <c r="B218" s="146" t="s">
        <v>89</v>
      </c>
      <c r="C218" s="146" t="s">
        <v>89</v>
      </c>
      <c r="D218" s="146">
        <v>640175</v>
      </c>
      <c r="E218" s="146" t="s">
        <v>89</v>
      </c>
      <c r="F218" s="146" t="s">
        <v>89</v>
      </c>
      <c r="H218" s="173" t="e">
        <f t="shared" si="3"/>
        <v>#VALUE!</v>
      </c>
    </row>
    <row r="219" spans="1:8" ht="15" thickBot="1" x14ac:dyDescent="0.4">
      <c r="A219" s="174" t="s">
        <v>769</v>
      </c>
      <c r="B219" s="148" t="s">
        <v>89</v>
      </c>
      <c r="C219" s="148" t="s">
        <v>89</v>
      </c>
      <c r="D219" s="148">
        <v>36566</v>
      </c>
      <c r="E219" s="148" t="s">
        <v>89</v>
      </c>
      <c r="F219" s="148" t="s">
        <v>89</v>
      </c>
      <c r="H219" s="173" t="e">
        <f t="shared" si="3"/>
        <v>#VALUE!</v>
      </c>
    </row>
    <row r="220" spans="1:8" ht="15" thickBot="1" x14ac:dyDescent="0.4">
      <c r="A220" s="174" t="s">
        <v>771</v>
      </c>
      <c r="B220" s="148" t="s">
        <v>89</v>
      </c>
      <c r="C220" s="148" t="s">
        <v>89</v>
      </c>
      <c r="D220" s="148">
        <v>23398</v>
      </c>
      <c r="E220" s="148" t="s">
        <v>89</v>
      </c>
      <c r="F220" s="148" t="s">
        <v>89</v>
      </c>
      <c r="H220" s="173" t="e">
        <f t="shared" si="3"/>
        <v>#VALUE!</v>
      </c>
    </row>
    <row r="221" spans="1:8" ht="15" thickBot="1" x14ac:dyDescent="0.4">
      <c r="A221" s="174" t="s">
        <v>772</v>
      </c>
      <c r="B221" s="148" t="s">
        <v>89</v>
      </c>
      <c r="C221" s="148" t="s">
        <v>89</v>
      </c>
      <c r="D221" s="148">
        <v>23398</v>
      </c>
      <c r="E221" s="148" t="s">
        <v>89</v>
      </c>
      <c r="F221" s="148" t="s">
        <v>89</v>
      </c>
      <c r="H221" s="173" t="e">
        <f t="shared" si="3"/>
        <v>#VALUE!</v>
      </c>
    </row>
    <row r="222" spans="1:8" ht="15" thickBot="1" x14ac:dyDescent="0.4">
      <c r="A222" s="174" t="s">
        <v>774</v>
      </c>
      <c r="B222" s="148" t="s">
        <v>89</v>
      </c>
      <c r="C222" s="148" t="s">
        <v>89</v>
      </c>
      <c r="D222" s="148">
        <v>23398</v>
      </c>
      <c r="E222" s="148" t="s">
        <v>89</v>
      </c>
      <c r="F222" s="148" t="s">
        <v>89</v>
      </c>
      <c r="H222" s="173" t="e">
        <f t="shared" si="3"/>
        <v>#VALUE!</v>
      </c>
    </row>
    <row r="223" spans="1:8" ht="15" thickBot="1" x14ac:dyDescent="0.4">
      <c r="A223" s="174" t="s">
        <v>778</v>
      </c>
      <c r="B223" s="148" t="s">
        <v>89</v>
      </c>
      <c r="C223" s="148" t="s">
        <v>89</v>
      </c>
      <c r="D223" s="148">
        <v>23398</v>
      </c>
      <c r="E223" s="148" t="s">
        <v>89</v>
      </c>
      <c r="F223" s="148" t="s">
        <v>89</v>
      </c>
      <c r="H223" s="173" t="e">
        <f t="shared" si="3"/>
        <v>#VALUE!</v>
      </c>
    </row>
    <row r="224" spans="1:8" ht="15" thickBot="1" x14ac:dyDescent="0.4">
      <c r="A224" s="174" t="s">
        <v>783</v>
      </c>
      <c r="B224" s="148" t="s">
        <v>89</v>
      </c>
      <c r="C224" s="148" t="s">
        <v>89</v>
      </c>
      <c r="D224" s="148">
        <v>46796</v>
      </c>
      <c r="E224" s="148" t="s">
        <v>89</v>
      </c>
      <c r="F224" s="148" t="s">
        <v>89</v>
      </c>
      <c r="H224" s="173" t="e">
        <f t="shared" si="3"/>
        <v>#VALUE!</v>
      </c>
    </row>
    <row r="225" spans="1:8" ht="15" thickBot="1" x14ac:dyDescent="0.4">
      <c r="A225" s="174" t="s">
        <v>785</v>
      </c>
      <c r="B225" s="148" t="s">
        <v>89</v>
      </c>
      <c r="C225" s="148" t="s">
        <v>89</v>
      </c>
      <c r="D225" s="148">
        <v>46796</v>
      </c>
      <c r="E225" s="148" t="s">
        <v>89</v>
      </c>
      <c r="F225" s="148" t="s">
        <v>89</v>
      </c>
      <c r="H225" s="173" t="e">
        <f t="shared" si="3"/>
        <v>#VALUE!</v>
      </c>
    </row>
    <row r="226" spans="1:8" ht="15" thickBot="1" x14ac:dyDescent="0.4">
      <c r="A226" s="174" t="s">
        <v>789</v>
      </c>
      <c r="B226" s="148" t="s">
        <v>89</v>
      </c>
      <c r="C226" s="148" t="s">
        <v>89</v>
      </c>
      <c r="D226" s="148">
        <v>510017</v>
      </c>
      <c r="E226" s="148" t="s">
        <v>89</v>
      </c>
      <c r="F226" s="148" t="s">
        <v>89</v>
      </c>
      <c r="H226" s="173" t="e">
        <f t="shared" si="3"/>
        <v>#VALUE!</v>
      </c>
    </row>
    <row r="227" spans="1:8" ht="15" thickBot="1" x14ac:dyDescent="0.4">
      <c r="A227" s="181" t="s">
        <v>790</v>
      </c>
      <c r="B227" s="150" t="s">
        <v>89</v>
      </c>
      <c r="C227" s="150" t="s">
        <v>89</v>
      </c>
      <c r="D227" s="150" t="s">
        <v>89</v>
      </c>
      <c r="E227" s="150" t="s">
        <v>89</v>
      </c>
      <c r="F227" s="150" t="s">
        <v>89</v>
      </c>
      <c r="H227" s="173" t="e">
        <f t="shared" si="3"/>
        <v>#VALUE!</v>
      </c>
    </row>
    <row r="228" spans="1:8" ht="15" thickBot="1" x14ac:dyDescent="0.4">
      <c r="A228" s="181" t="s">
        <v>795</v>
      </c>
      <c r="B228" s="150" t="s">
        <v>89</v>
      </c>
      <c r="C228" s="150" t="s">
        <v>89</v>
      </c>
      <c r="D228" s="150" t="s">
        <v>89</v>
      </c>
      <c r="E228" s="150" t="s">
        <v>89</v>
      </c>
      <c r="F228" s="150" t="s">
        <v>89</v>
      </c>
      <c r="H228" s="173" t="e">
        <f t="shared" si="3"/>
        <v>#VALUE!</v>
      </c>
    </row>
    <row r="229" spans="1:8" ht="15" thickBot="1" x14ac:dyDescent="0.4">
      <c r="A229" s="181" t="s">
        <v>797</v>
      </c>
      <c r="B229" s="150" t="s">
        <v>89</v>
      </c>
      <c r="C229" s="150" t="s">
        <v>89</v>
      </c>
      <c r="D229" s="150" t="s">
        <v>89</v>
      </c>
      <c r="E229" s="150" t="s">
        <v>89</v>
      </c>
      <c r="F229" s="150" t="s">
        <v>89</v>
      </c>
      <c r="H229" s="173" t="e">
        <f t="shared" si="3"/>
        <v>#VALUE!</v>
      </c>
    </row>
    <row r="230" spans="1:8" ht="15" thickBot="1" x14ac:dyDescent="0.4">
      <c r="A230" s="181" t="s">
        <v>800</v>
      </c>
      <c r="B230" s="150" t="s">
        <v>89</v>
      </c>
      <c r="C230" s="150" t="s">
        <v>89</v>
      </c>
      <c r="D230" s="150" t="s">
        <v>89</v>
      </c>
      <c r="E230" s="150" t="s">
        <v>89</v>
      </c>
      <c r="F230" s="150" t="s">
        <v>89</v>
      </c>
      <c r="H230" s="173" t="e">
        <f t="shared" si="3"/>
        <v>#VALUE!</v>
      </c>
    </row>
    <row r="231" spans="1:8" ht="15" thickBot="1" x14ac:dyDescent="0.4">
      <c r="A231" s="181" t="s">
        <v>802</v>
      </c>
      <c r="B231" s="150" t="s">
        <v>89</v>
      </c>
      <c r="C231" s="150" t="s">
        <v>89</v>
      </c>
      <c r="D231" s="150" t="s">
        <v>89</v>
      </c>
      <c r="E231" s="150" t="s">
        <v>89</v>
      </c>
      <c r="F231" s="150" t="s">
        <v>89</v>
      </c>
      <c r="H231" s="173" t="e">
        <f t="shared" si="3"/>
        <v>#VALUE!</v>
      </c>
    </row>
    <row r="232" spans="1:8" ht="15" thickBot="1" x14ac:dyDescent="0.4">
      <c r="A232" s="181" t="s">
        <v>803</v>
      </c>
      <c r="B232" s="150" t="s">
        <v>89</v>
      </c>
      <c r="C232" s="150" t="s">
        <v>89</v>
      </c>
      <c r="D232" s="150" t="s">
        <v>89</v>
      </c>
      <c r="E232" s="150" t="s">
        <v>89</v>
      </c>
      <c r="F232" s="150" t="s">
        <v>89</v>
      </c>
      <c r="H232" s="173" t="e">
        <f t="shared" si="3"/>
        <v>#VALUE!</v>
      </c>
    </row>
    <row r="233" spans="1:8" x14ac:dyDescent="0.35">
      <c r="A233" s="181" t="s">
        <v>804</v>
      </c>
      <c r="B233" s="150" t="s">
        <v>89</v>
      </c>
      <c r="C233" s="150" t="s">
        <v>89</v>
      </c>
      <c r="D233" s="150" t="s">
        <v>89</v>
      </c>
      <c r="E233" s="150" t="s">
        <v>89</v>
      </c>
      <c r="F233" s="150" t="s">
        <v>89</v>
      </c>
      <c r="H233" s="173" t="e">
        <f t="shared" ref="H233:H235" si="4">(F233-D233)/D233</f>
        <v>#VALUE!</v>
      </c>
    </row>
    <row r="234" spans="1:8" x14ac:dyDescent="0.35">
      <c r="H234" s="173" t="e">
        <f t="shared" si="4"/>
        <v>#DIV/0!</v>
      </c>
    </row>
    <row r="235" spans="1:8" x14ac:dyDescent="0.35">
      <c r="H235" s="173" t="e">
        <f t="shared" si="4"/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2640-6DA5-4E67-AD6B-371E6E4113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E22F-AFE7-4E2A-BE3B-F8E9890B5B55}">
  <dimension ref="A1:H78"/>
  <sheetViews>
    <sheetView topLeftCell="A16" workbookViewId="0">
      <selection activeCell="E41" sqref="E41"/>
    </sheetView>
  </sheetViews>
  <sheetFormatPr defaultRowHeight="14.5" x14ac:dyDescent="0.35"/>
  <cols>
    <col min="1" max="1" width="18.81640625" customWidth="1"/>
  </cols>
  <sheetData>
    <row r="1" spans="1:8" x14ac:dyDescent="0.35">
      <c r="A1" s="99" t="s">
        <v>1776</v>
      </c>
    </row>
    <row r="3" spans="1:8" x14ac:dyDescent="0.35">
      <c r="A3" s="100" t="s">
        <v>834</v>
      </c>
    </row>
    <row r="4" spans="1:8" ht="15" thickBot="1" x14ac:dyDescent="0.4">
      <c r="A4" s="100" t="s">
        <v>835</v>
      </c>
    </row>
    <row r="5" spans="1:8" ht="15" thickBot="1" x14ac:dyDescent="0.4">
      <c r="A5" s="101"/>
      <c r="B5" s="101" t="s">
        <v>253</v>
      </c>
      <c r="C5" s="102">
        <v>2018</v>
      </c>
      <c r="D5" s="102">
        <v>2019</v>
      </c>
      <c r="E5" s="102">
        <v>2020</v>
      </c>
      <c r="F5" s="102">
        <v>2021</v>
      </c>
      <c r="G5" s="102">
        <v>2022</v>
      </c>
      <c r="H5" s="102">
        <v>2023</v>
      </c>
    </row>
    <row r="6" spans="1:8" ht="15" thickBot="1" x14ac:dyDescent="0.4">
      <c r="A6" s="103" t="s">
        <v>312</v>
      </c>
      <c r="B6" s="104">
        <v>52</v>
      </c>
      <c r="C6" s="120">
        <v>4</v>
      </c>
      <c r="D6" s="104">
        <v>33</v>
      </c>
      <c r="E6" s="119">
        <v>13</v>
      </c>
      <c r="F6" s="104">
        <v>38</v>
      </c>
      <c r="G6" s="119">
        <v>28</v>
      </c>
      <c r="H6" s="104">
        <v>48</v>
      </c>
    </row>
    <row r="7" spans="1:8" ht="15" thickBot="1" x14ac:dyDescent="0.4">
      <c r="A7" s="106" t="s">
        <v>1777</v>
      </c>
      <c r="B7" s="107">
        <v>23450</v>
      </c>
      <c r="C7" s="107">
        <v>350.06911400000001</v>
      </c>
      <c r="D7" s="107">
        <v>335.40040499999998</v>
      </c>
      <c r="E7" s="107">
        <v>313.488113</v>
      </c>
      <c r="F7" s="107">
        <v>315.49010800000002</v>
      </c>
      <c r="G7" s="107">
        <v>300.89036599999997</v>
      </c>
      <c r="H7" s="107">
        <v>285.41869500000001</v>
      </c>
    </row>
    <row r="8" spans="1:8" ht="15" thickBot="1" x14ac:dyDescent="0.4">
      <c r="A8" s="108" t="s">
        <v>836</v>
      </c>
      <c r="B8" s="98"/>
      <c r="C8" s="109"/>
      <c r="D8" s="109"/>
      <c r="E8" s="109"/>
      <c r="F8" s="109"/>
      <c r="G8" s="109"/>
      <c r="H8" s="109"/>
    </row>
    <row r="9" spans="1:8" x14ac:dyDescent="0.35">
      <c r="A9" s="110" t="s">
        <v>837</v>
      </c>
      <c r="B9" s="123">
        <v>0.29299999999999998</v>
      </c>
      <c r="C9" s="112">
        <v>0.27800000000000002</v>
      </c>
      <c r="D9" s="112">
        <v>0.29499999999999998</v>
      </c>
      <c r="E9" s="112">
        <v>0.28899999999999998</v>
      </c>
      <c r="F9" s="112">
        <v>0.314</v>
      </c>
      <c r="G9" s="112">
        <v>0.30499999999999999</v>
      </c>
      <c r="H9" s="112">
        <v>0.28199999999999997</v>
      </c>
    </row>
    <row r="10" spans="1:8" ht="15" thickBot="1" x14ac:dyDescent="0.4">
      <c r="A10" s="113" t="s">
        <v>92</v>
      </c>
      <c r="B10" s="114"/>
      <c r="C10" s="115" t="s">
        <v>863</v>
      </c>
      <c r="D10" s="115" t="s">
        <v>966</v>
      </c>
      <c r="E10" s="115" t="s">
        <v>862</v>
      </c>
      <c r="F10" s="115" t="s">
        <v>981</v>
      </c>
      <c r="G10" s="115" t="s">
        <v>1678</v>
      </c>
      <c r="H10" s="115" t="s">
        <v>877</v>
      </c>
    </row>
    <row r="11" spans="1:8" x14ac:dyDescent="0.35">
      <c r="A11" s="110" t="s">
        <v>842</v>
      </c>
      <c r="B11" s="111" t="s">
        <v>843</v>
      </c>
      <c r="C11" s="112">
        <v>8.6999999999999994E-2</v>
      </c>
      <c r="D11" s="112">
        <v>9.5000000000000001E-2</v>
      </c>
      <c r="E11" s="112">
        <v>0.104</v>
      </c>
      <c r="F11" s="112">
        <v>0.14499999999999999</v>
      </c>
      <c r="G11" s="112">
        <v>0.113</v>
      </c>
      <c r="H11" s="112">
        <v>9.7000000000000003E-2</v>
      </c>
    </row>
    <row r="12" spans="1:8" ht="15" thickBot="1" x14ac:dyDescent="0.4">
      <c r="A12" s="113" t="s">
        <v>92</v>
      </c>
      <c r="B12" s="114"/>
      <c r="C12" s="115" t="s">
        <v>942</v>
      </c>
      <c r="D12" s="115" t="s">
        <v>863</v>
      </c>
      <c r="E12" s="115" t="s">
        <v>1682</v>
      </c>
      <c r="F12" s="115" t="s">
        <v>992</v>
      </c>
      <c r="G12" s="115" t="s">
        <v>841</v>
      </c>
      <c r="H12" s="115" t="s">
        <v>872</v>
      </c>
    </row>
    <row r="13" spans="1:8" x14ac:dyDescent="0.35">
      <c r="A13" s="110" t="s">
        <v>274</v>
      </c>
      <c r="B13" s="111">
        <v>0.11</v>
      </c>
      <c r="C13" s="112">
        <v>4.5999999999999999E-2</v>
      </c>
      <c r="D13" s="112">
        <v>5.1999999999999998E-2</v>
      </c>
      <c r="E13" s="112">
        <v>4.8000000000000001E-2</v>
      </c>
      <c r="F13" s="112">
        <v>9.0999999999999998E-2</v>
      </c>
      <c r="G13" s="112">
        <v>6.5000000000000002E-2</v>
      </c>
      <c r="H13" s="112">
        <v>4.7E-2</v>
      </c>
    </row>
    <row r="14" spans="1:8" ht="15" thickBot="1" x14ac:dyDescent="0.4">
      <c r="A14" s="113" t="s">
        <v>92</v>
      </c>
      <c r="B14" s="114"/>
      <c r="C14" s="115" t="s">
        <v>887</v>
      </c>
      <c r="D14" s="115" t="s">
        <v>845</v>
      </c>
      <c r="E14" s="115" t="s">
        <v>844</v>
      </c>
      <c r="F14" s="115" t="s">
        <v>907</v>
      </c>
      <c r="G14" s="115" t="s">
        <v>892</v>
      </c>
      <c r="H14" s="115" t="s">
        <v>851</v>
      </c>
    </row>
    <row r="15" spans="1:8" x14ac:dyDescent="0.35">
      <c r="A15" s="110" t="s">
        <v>853</v>
      </c>
      <c r="B15" s="111" t="s">
        <v>854</v>
      </c>
      <c r="C15" s="112">
        <v>2.8000000000000001E-2</v>
      </c>
      <c r="D15" s="112">
        <v>3.4000000000000002E-2</v>
      </c>
      <c r="E15" s="112">
        <v>2.9000000000000001E-2</v>
      </c>
      <c r="F15" s="112">
        <v>7.2999999999999995E-2</v>
      </c>
      <c r="G15" s="112">
        <v>4.9000000000000002E-2</v>
      </c>
      <c r="H15" s="112">
        <v>3.1E-2</v>
      </c>
    </row>
    <row r="16" spans="1:8" ht="15" thickBot="1" x14ac:dyDescent="0.4">
      <c r="A16" s="113" t="s">
        <v>92</v>
      </c>
      <c r="B16" s="114"/>
      <c r="C16" s="115" t="s">
        <v>94</v>
      </c>
      <c r="D16" s="115" t="s">
        <v>845</v>
      </c>
      <c r="E16" s="115" t="s">
        <v>893</v>
      </c>
      <c r="F16" s="115" t="s">
        <v>1703</v>
      </c>
      <c r="G16" s="115" t="s">
        <v>1049</v>
      </c>
      <c r="H16" s="115" t="s">
        <v>851</v>
      </c>
    </row>
    <row r="17" spans="1:8" x14ac:dyDescent="0.35">
      <c r="A17" s="110" t="s">
        <v>859</v>
      </c>
      <c r="B17" s="111" t="s">
        <v>860</v>
      </c>
      <c r="C17" s="112">
        <v>0.23499999999999999</v>
      </c>
      <c r="D17" s="112">
        <v>0.28699999999999998</v>
      </c>
      <c r="E17" s="112">
        <v>0.28199999999999997</v>
      </c>
      <c r="F17" s="112">
        <v>0.32300000000000001</v>
      </c>
      <c r="G17" s="112">
        <v>0.20899999999999999</v>
      </c>
      <c r="H17" s="112">
        <v>0.26100000000000001</v>
      </c>
    </row>
    <row r="18" spans="1:8" ht="15" thickBot="1" x14ac:dyDescent="0.4">
      <c r="A18" s="113" t="s">
        <v>92</v>
      </c>
      <c r="B18" s="114"/>
      <c r="C18" s="115" t="s">
        <v>1778</v>
      </c>
      <c r="D18" s="115" t="s">
        <v>1779</v>
      </c>
      <c r="E18" s="115" t="s">
        <v>893</v>
      </c>
      <c r="F18" s="115" t="s">
        <v>992</v>
      </c>
      <c r="G18" s="115" t="s">
        <v>919</v>
      </c>
      <c r="H18" s="115" t="s">
        <v>1779</v>
      </c>
    </row>
    <row r="19" spans="1:8" x14ac:dyDescent="0.35">
      <c r="A19" s="110" t="s">
        <v>864</v>
      </c>
      <c r="B19" s="111" t="s">
        <v>865</v>
      </c>
      <c r="C19" s="112">
        <v>2.1000000000000001E-2</v>
      </c>
      <c r="D19" s="112">
        <v>2.4E-2</v>
      </c>
      <c r="E19" s="112">
        <v>2.1000000000000001E-2</v>
      </c>
      <c r="F19" s="112">
        <v>4.9000000000000002E-2</v>
      </c>
      <c r="G19" s="112">
        <v>3.9E-2</v>
      </c>
      <c r="H19" s="112">
        <v>2.3E-2</v>
      </c>
    </row>
    <row r="20" spans="1:8" ht="15" thickBot="1" x14ac:dyDescent="0.4">
      <c r="A20" s="113" t="s">
        <v>92</v>
      </c>
      <c r="B20" s="114"/>
      <c r="C20" s="115" t="s">
        <v>855</v>
      </c>
      <c r="D20" s="115" t="s">
        <v>1029</v>
      </c>
      <c r="E20" s="115" t="s">
        <v>942</v>
      </c>
      <c r="F20" s="115" t="s">
        <v>1688</v>
      </c>
      <c r="G20" s="115" t="s">
        <v>887</v>
      </c>
      <c r="H20" s="115" t="s">
        <v>872</v>
      </c>
    </row>
    <row r="21" spans="1:8" ht="15" thickBot="1" x14ac:dyDescent="0.4">
      <c r="A21" s="108" t="s">
        <v>866</v>
      </c>
      <c r="B21" s="98"/>
      <c r="C21" s="109"/>
      <c r="D21" s="109"/>
      <c r="E21" s="109"/>
      <c r="F21" s="109"/>
      <c r="G21" s="109"/>
      <c r="H21" s="109"/>
    </row>
    <row r="22" spans="1:8" x14ac:dyDescent="0.35">
      <c r="A22" s="110" t="s">
        <v>867</v>
      </c>
      <c r="B22" s="111" t="s">
        <v>868</v>
      </c>
      <c r="C22" s="116">
        <v>2.37</v>
      </c>
      <c r="D22" s="116">
        <v>2.23</v>
      </c>
      <c r="E22" s="116">
        <v>2.14</v>
      </c>
      <c r="F22" s="116">
        <v>1.9</v>
      </c>
      <c r="G22" s="116">
        <v>1.91</v>
      </c>
      <c r="H22" s="116">
        <v>2</v>
      </c>
    </row>
    <row r="23" spans="1:8" ht="15" thickBot="1" x14ac:dyDescent="0.4">
      <c r="A23" s="113" t="s">
        <v>92</v>
      </c>
      <c r="B23" s="114"/>
      <c r="C23" s="115" t="s">
        <v>1780</v>
      </c>
      <c r="D23" s="115" t="s">
        <v>1781</v>
      </c>
      <c r="E23" s="115" t="s">
        <v>1782</v>
      </c>
      <c r="F23" s="115" t="s">
        <v>1783</v>
      </c>
      <c r="G23" s="115" t="s">
        <v>1672</v>
      </c>
      <c r="H23" s="115" t="s">
        <v>1017</v>
      </c>
    </row>
    <row r="24" spans="1:8" x14ac:dyDescent="0.35">
      <c r="A24" s="110" t="s">
        <v>873</v>
      </c>
      <c r="B24" s="111" t="s">
        <v>854</v>
      </c>
      <c r="C24" s="112">
        <v>2.8000000000000001E-2</v>
      </c>
      <c r="D24" s="112">
        <v>3.4000000000000002E-2</v>
      </c>
      <c r="E24" s="112">
        <v>2.9000000000000001E-2</v>
      </c>
      <c r="F24" s="112">
        <v>7.2999999999999995E-2</v>
      </c>
      <c r="G24" s="112">
        <v>4.9000000000000002E-2</v>
      </c>
      <c r="H24" s="112">
        <v>3.1E-2</v>
      </c>
    </row>
    <row r="25" spans="1:8" ht="15" thickBot="1" x14ac:dyDescent="0.4">
      <c r="A25" s="113" t="s">
        <v>92</v>
      </c>
      <c r="B25" s="114"/>
      <c r="C25" s="115" t="s">
        <v>94</v>
      </c>
      <c r="D25" s="115" t="s">
        <v>845</v>
      </c>
      <c r="E25" s="115" t="s">
        <v>893</v>
      </c>
      <c r="F25" s="115" t="s">
        <v>1703</v>
      </c>
      <c r="G25" s="115" t="s">
        <v>1049</v>
      </c>
      <c r="H25" s="115" t="s">
        <v>851</v>
      </c>
    </row>
    <row r="26" spans="1:8" x14ac:dyDescent="0.35">
      <c r="A26" s="110" t="s">
        <v>874</v>
      </c>
      <c r="B26" s="111" t="s">
        <v>875</v>
      </c>
      <c r="C26" s="112">
        <v>6.6000000000000003E-2</v>
      </c>
      <c r="D26" s="112">
        <v>7.4999999999999997E-2</v>
      </c>
      <c r="E26" s="112">
        <v>6.3E-2</v>
      </c>
      <c r="F26" s="112">
        <v>0.13900000000000001</v>
      </c>
      <c r="G26" s="112">
        <v>9.4E-2</v>
      </c>
      <c r="H26" s="112">
        <v>6.2E-2</v>
      </c>
    </row>
    <row r="27" spans="1:8" ht="15" thickBot="1" x14ac:dyDescent="0.4">
      <c r="A27" s="113" t="s">
        <v>92</v>
      </c>
      <c r="B27" s="114"/>
      <c r="C27" s="115" t="s">
        <v>889</v>
      </c>
      <c r="D27" s="115" t="s">
        <v>1682</v>
      </c>
      <c r="E27" s="115" t="s">
        <v>980</v>
      </c>
      <c r="F27" s="115" t="s">
        <v>1784</v>
      </c>
      <c r="G27" s="115" t="s">
        <v>1785</v>
      </c>
      <c r="H27" s="115" t="s">
        <v>841</v>
      </c>
    </row>
    <row r="28" spans="1:8" x14ac:dyDescent="0.35">
      <c r="A28" s="110" t="s">
        <v>881</v>
      </c>
      <c r="B28" s="111" t="s">
        <v>882</v>
      </c>
      <c r="C28" s="116">
        <v>5.56</v>
      </c>
      <c r="D28" s="116">
        <v>2.79</v>
      </c>
      <c r="E28" s="116">
        <v>3</v>
      </c>
      <c r="F28" s="116">
        <v>3.05</v>
      </c>
      <c r="G28" s="116">
        <v>3.19</v>
      </c>
      <c r="H28" s="116">
        <v>2.57</v>
      </c>
    </row>
    <row r="29" spans="1:8" ht="15" thickBot="1" x14ac:dyDescent="0.4">
      <c r="A29" s="113" t="s">
        <v>92</v>
      </c>
      <c r="B29" s="114"/>
      <c r="C29" s="115" t="s">
        <v>1786</v>
      </c>
      <c r="D29" s="115" t="s">
        <v>1787</v>
      </c>
      <c r="E29" s="115" t="s">
        <v>991</v>
      </c>
      <c r="F29" s="115" t="s">
        <v>966</v>
      </c>
      <c r="G29" s="115" t="s">
        <v>967</v>
      </c>
      <c r="H29" s="115" t="s">
        <v>1788</v>
      </c>
    </row>
    <row r="30" spans="1:8" x14ac:dyDescent="0.35">
      <c r="A30" s="110" t="s">
        <v>885</v>
      </c>
      <c r="B30" s="111" t="s">
        <v>886</v>
      </c>
      <c r="C30" s="112">
        <v>0.33200000000000002</v>
      </c>
      <c r="D30" s="112">
        <v>0.27500000000000002</v>
      </c>
      <c r="E30" s="112">
        <v>0.183</v>
      </c>
      <c r="F30" s="112">
        <v>0.42</v>
      </c>
      <c r="G30" s="112">
        <v>0.29499999999999998</v>
      </c>
      <c r="H30" s="112">
        <v>0.17599999999999999</v>
      </c>
    </row>
    <row r="31" spans="1:8" ht="15" thickBot="1" x14ac:dyDescent="0.4">
      <c r="A31" s="113" t="s">
        <v>92</v>
      </c>
      <c r="B31" s="114"/>
      <c r="C31" s="115" t="s">
        <v>1789</v>
      </c>
      <c r="D31" s="115" t="s">
        <v>1742</v>
      </c>
      <c r="E31" s="115" t="s">
        <v>1790</v>
      </c>
      <c r="F31" s="115" t="s">
        <v>1791</v>
      </c>
      <c r="G31" s="115" t="s">
        <v>1792</v>
      </c>
      <c r="H31" s="115" t="s">
        <v>1793</v>
      </c>
    </row>
    <row r="32" spans="1:8" x14ac:dyDescent="0.35">
      <c r="A32" s="110" t="s">
        <v>890</v>
      </c>
      <c r="B32" s="111" t="s">
        <v>891</v>
      </c>
      <c r="C32" s="116">
        <v>0.77</v>
      </c>
      <c r="D32" s="116">
        <v>0.71</v>
      </c>
      <c r="E32" s="116">
        <v>0.72</v>
      </c>
      <c r="F32" s="116">
        <v>0.61</v>
      </c>
      <c r="G32" s="116">
        <v>0.69</v>
      </c>
      <c r="H32" s="116">
        <v>0.74</v>
      </c>
    </row>
    <row r="33" spans="1:8" ht="15" thickBot="1" x14ac:dyDescent="0.4">
      <c r="A33" s="113" t="s">
        <v>92</v>
      </c>
      <c r="B33" s="114"/>
      <c r="C33" s="115" t="s">
        <v>1686</v>
      </c>
      <c r="D33" s="115" t="s">
        <v>1680</v>
      </c>
      <c r="E33" s="115" t="s">
        <v>863</v>
      </c>
      <c r="F33" s="115" t="s">
        <v>1071</v>
      </c>
      <c r="G33" s="115" t="s">
        <v>1794</v>
      </c>
      <c r="H33" s="115" t="s">
        <v>1795</v>
      </c>
    </row>
    <row r="34" spans="1:8" x14ac:dyDescent="0.35">
      <c r="A34" s="110" t="s">
        <v>306</v>
      </c>
      <c r="B34" s="111" t="s">
        <v>894</v>
      </c>
      <c r="C34" s="112">
        <v>0.254</v>
      </c>
      <c r="D34" s="112">
        <v>0.19600000000000001</v>
      </c>
      <c r="E34" s="112">
        <v>0.13100000000000001</v>
      </c>
      <c r="F34" s="112">
        <v>0.28399999999999997</v>
      </c>
      <c r="G34" s="112">
        <v>0.23300000000000001</v>
      </c>
      <c r="H34" s="112">
        <v>0.13</v>
      </c>
    </row>
    <row r="35" spans="1:8" ht="15" thickBot="1" x14ac:dyDescent="0.4">
      <c r="A35" s="113" t="s">
        <v>92</v>
      </c>
      <c r="B35" s="114"/>
      <c r="C35" s="115" t="s">
        <v>1796</v>
      </c>
      <c r="D35" s="115" t="s">
        <v>1797</v>
      </c>
      <c r="E35" s="115" t="s">
        <v>871</v>
      </c>
      <c r="F35" s="115" t="s">
        <v>1040</v>
      </c>
      <c r="G35" s="115" t="s">
        <v>896</v>
      </c>
      <c r="H35" s="115" t="s">
        <v>1730</v>
      </c>
    </row>
    <row r="36" spans="1:8" x14ac:dyDescent="0.35">
      <c r="A36" s="110" t="s">
        <v>898</v>
      </c>
      <c r="B36" s="111" t="s">
        <v>899</v>
      </c>
      <c r="C36" s="116">
        <v>0.33</v>
      </c>
      <c r="D36" s="116">
        <v>0.32</v>
      </c>
      <c r="E36" s="116">
        <v>0.14000000000000001</v>
      </c>
      <c r="F36" s="116">
        <v>0.53</v>
      </c>
      <c r="G36" s="116">
        <v>0.48</v>
      </c>
      <c r="H36" s="116">
        <v>0.22</v>
      </c>
    </row>
    <row r="37" spans="1:8" ht="15" thickBot="1" x14ac:dyDescent="0.4">
      <c r="A37" s="113" t="s">
        <v>92</v>
      </c>
      <c r="B37" s="114"/>
      <c r="C37" s="115" t="s">
        <v>1798</v>
      </c>
      <c r="D37" s="115" t="s">
        <v>1063</v>
      </c>
      <c r="E37" s="115" t="s">
        <v>1799</v>
      </c>
      <c r="F37" s="115" t="s">
        <v>902</v>
      </c>
      <c r="G37" s="115" t="s">
        <v>993</v>
      </c>
      <c r="H37" s="115" t="s">
        <v>1800</v>
      </c>
    </row>
    <row r="38" spans="1:8" x14ac:dyDescent="0.35">
      <c r="A38" s="110" t="s">
        <v>905</v>
      </c>
      <c r="B38" s="111" t="s">
        <v>906</v>
      </c>
      <c r="C38" s="112">
        <v>8.4000000000000005E-2</v>
      </c>
      <c r="D38" s="112">
        <v>6.4000000000000001E-2</v>
      </c>
      <c r="E38" s="112">
        <v>1.9E-2</v>
      </c>
      <c r="F38" s="112">
        <v>0.15</v>
      </c>
      <c r="G38" s="112">
        <v>0.112</v>
      </c>
      <c r="H38" s="112">
        <v>2.9000000000000001E-2</v>
      </c>
    </row>
    <row r="39" spans="1:8" ht="15" thickBot="1" x14ac:dyDescent="0.4">
      <c r="A39" s="113" t="s">
        <v>92</v>
      </c>
      <c r="B39" s="114"/>
      <c r="C39" s="115" t="s">
        <v>1801</v>
      </c>
      <c r="D39" s="115" t="s">
        <v>888</v>
      </c>
      <c r="E39" s="115" t="s">
        <v>1785</v>
      </c>
      <c r="F39" s="115" t="s">
        <v>1802</v>
      </c>
      <c r="G39" s="115" t="s">
        <v>1782</v>
      </c>
      <c r="H39" s="115" t="s">
        <v>1670</v>
      </c>
    </row>
    <row r="40" spans="1:8" ht="15" thickBot="1" x14ac:dyDescent="0.4">
      <c r="A40" s="108" t="s">
        <v>911</v>
      </c>
      <c r="B40" s="98"/>
      <c r="C40" s="109"/>
      <c r="D40" s="109"/>
      <c r="E40" s="109"/>
      <c r="F40" s="109"/>
      <c r="G40" s="109"/>
      <c r="H40" s="109"/>
    </row>
    <row r="41" spans="1:8" x14ac:dyDescent="0.35">
      <c r="A41" s="110" t="s">
        <v>912</v>
      </c>
      <c r="B41" s="111" t="s">
        <v>913</v>
      </c>
      <c r="C41" s="116">
        <v>0.08</v>
      </c>
      <c r="D41" s="116">
        <v>0.14000000000000001</v>
      </c>
      <c r="E41" s="116">
        <v>0.12</v>
      </c>
      <c r="F41" s="116">
        <v>0.1</v>
      </c>
      <c r="G41" s="116">
        <v>0.13</v>
      </c>
      <c r="H41" s="116">
        <v>0.12</v>
      </c>
    </row>
    <row r="42" spans="1:8" ht="15" thickBot="1" x14ac:dyDescent="0.4">
      <c r="A42" s="113" t="s">
        <v>92</v>
      </c>
      <c r="B42" s="114"/>
      <c r="C42" s="115" t="s">
        <v>1803</v>
      </c>
      <c r="D42" s="115" t="s">
        <v>1804</v>
      </c>
      <c r="E42" s="115" t="s">
        <v>1805</v>
      </c>
      <c r="F42" s="115" t="s">
        <v>1806</v>
      </c>
      <c r="G42" s="115" t="s">
        <v>1807</v>
      </c>
      <c r="H42" s="115" t="s">
        <v>1745</v>
      </c>
    </row>
    <row r="43" spans="1:8" x14ac:dyDescent="0.35">
      <c r="A43" s="110" t="s">
        <v>916</v>
      </c>
      <c r="B43" s="111" t="s">
        <v>917</v>
      </c>
      <c r="C43" s="116">
        <v>0.44</v>
      </c>
      <c r="D43" s="116">
        <v>0.6</v>
      </c>
      <c r="E43" s="116">
        <v>0.52</v>
      </c>
      <c r="F43" s="116">
        <v>0.54</v>
      </c>
      <c r="G43" s="116">
        <v>0.56000000000000005</v>
      </c>
      <c r="H43" s="116">
        <v>0.62</v>
      </c>
    </row>
    <row r="44" spans="1:8" ht="15" thickBot="1" x14ac:dyDescent="0.4">
      <c r="A44" s="113" t="s">
        <v>92</v>
      </c>
      <c r="B44" s="114"/>
      <c r="C44" s="115" t="s">
        <v>1808</v>
      </c>
      <c r="D44" s="115" t="s">
        <v>1809</v>
      </c>
      <c r="E44" s="115" t="s">
        <v>1810</v>
      </c>
      <c r="F44" s="115" t="s">
        <v>968</v>
      </c>
      <c r="G44" s="115" t="s">
        <v>1036</v>
      </c>
      <c r="H44" s="115" t="s">
        <v>854</v>
      </c>
    </row>
    <row r="45" spans="1:8" x14ac:dyDescent="0.35">
      <c r="A45" s="110" t="s">
        <v>922</v>
      </c>
      <c r="B45" s="111" t="s">
        <v>923</v>
      </c>
      <c r="C45" s="117">
        <v>2.2999999999999998</v>
      </c>
      <c r="D45" s="117">
        <v>3</v>
      </c>
      <c r="E45" s="117">
        <v>2.4</v>
      </c>
      <c r="F45" s="117">
        <v>4.7</v>
      </c>
      <c r="G45" s="117">
        <v>3.9</v>
      </c>
      <c r="H45" s="117">
        <v>2.7</v>
      </c>
    </row>
    <row r="46" spans="1:8" ht="15" thickBot="1" x14ac:dyDescent="0.4">
      <c r="A46" s="113" t="s">
        <v>92</v>
      </c>
      <c r="B46" s="114"/>
      <c r="C46" s="115" t="s">
        <v>1811</v>
      </c>
      <c r="D46" s="115" t="s">
        <v>1812</v>
      </c>
      <c r="E46" s="115" t="s">
        <v>1813</v>
      </c>
      <c r="F46" s="115" t="s">
        <v>1814</v>
      </c>
      <c r="G46" s="115" t="s">
        <v>1815</v>
      </c>
      <c r="H46" s="115" t="s">
        <v>1816</v>
      </c>
    </row>
    <row r="47" spans="1:8" x14ac:dyDescent="0.35">
      <c r="A47" s="110" t="s">
        <v>929</v>
      </c>
      <c r="B47" s="111" t="s">
        <v>930</v>
      </c>
      <c r="C47" s="117">
        <v>24.9</v>
      </c>
      <c r="D47" s="117">
        <v>28.8</v>
      </c>
      <c r="E47" s="117">
        <v>26.8</v>
      </c>
      <c r="F47" s="117">
        <v>36.6</v>
      </c>
      <c r="G47" s="117">
        <v>42.2</v>
      </c>
      <c r="H47" s="117">
        <v>32.700000000000003</v>
      </c>
    </row>
    <row r="48" spans="1:8" ht="15" thickBot="1" x14ac:dyDescent="0.4">
      <c r="A48" s="113" t="s">
        <v>92</v>
      </c>
      <c r="B48" s="114"/>
      <c r="C48" s="115" t="s">
        <v>857</v>
      </c>
      <c r="D48" s="115" t="s">
        <v>941</v>
      </c>
      <c r="E48" s="115" t="s">
        <v>1680</v>
      </c>
      <c r="F48" s="115" t="s">
        <v>1817</v>
      </c>
      <c r="G48" s="115" t="s">
        <v>1040</v>
      </c>
      <c r="H48" s="115" t="s">
        <v>1780</v>
      </c>
    </row>
    <row r="49" spans="1:8" ht="15" thickBot="1" x14ac:dyDescent="0.4">
      <c r="A49" s="108" t="s">
        <v>305</v>
      </c>
      <c r="B49" s="98"/>
      <c r="C49" s="109"/>
      <c r="D49" s="109"/>
      <c r="E49" s="109"/>
      <c r="F49" s="109"/>
      <c r="G49" s="109"/>
      <c r="H49" s="109"/>
    </row>
    <row r="50" spans="1:8" x14ac:dyDescent="0.35">
      <c r="A50" s="110" t="s">
        <v>934</v>
      </c>
      <c r="B50" s="111" t="s">
        <v>882</v>
      </c>
      <c r="C50" s="116">
        <v>5.56</v>
      </c>
      <c r="D50" s="116">
        <v>2.79</v>
      </c>
      <c r="E50" s="116">
        <v>3</v>
      </c>
      <c r="F50" s="116">
        <v>3.05</v>
      </c>
      <c r="G50" s="116">
        <v>3.19</v>
      </c>
      <c r="H50" s="116">
        <v>2.57</v>
      </c>
    </row>
    <row r="51" spans="1:8" ht="15" thickBot="1" x14ac:dyDescent="0.4">
      <c r="A51" s="113" t="s">
        <v>92</v>
      </c>
      <c r="B51" s="114"/>
      <c r="C51" s="115" t="s">
        <v>1786</v>
      </c>
      <c r="D51" s="115" t="s">
        <v>1787</v>
      </c>
      <c r="E51" s="115" t="s">
        <v>991</v>
      </c>
      <c r="F51" s="115" t="s">
        <v>966</v>
      </c>
      <c r="G51" s="115" t="s">
        <v>967</v>
      </c>
      <c r="H51" s="115" t="s">
        <v>1788</v>
      </c>
    </row>
    <row r="52" spans="1:8" x14ac:dyDescent="0.35">
      <c r="A52" s="110" t="s">
        <v>935</v>
      </c>
      <c r="B52" s="111" t="s">
        <v>936</v>
      </c>
      <c r="C52" s="116">
        <v>3.55</v>
      </c>
      <c r="D52" s="116">
        <v>1.28</v>
      </c>
      <c r="E52" s="116">
        <v>1.59</v>
      </c>
      <c r="F52" s="116">
        <v>1.59</v>
      </c>
      <c r="G52" s="116">
        <v>1.75</v>
      </c>
      <c r="H52" s="116">
        <v>1.24</v>
      </c>
    </row>
    <row r="53" spans="1:8" ht="15" thickBot="1" x14ac:dyDescent="0.4">
      <c r="A53" s="113" t="s">
        <v>92</v>
      </c>
      <c r="B53" s="114"/>
      <c r="C53" s="115" t="s">
        <v>1818</v>
      </c>
      <c r="D53" s="115" t="s">
        <v>1819</v>
      </c>
      <c r="E53" s="115" t="s">
        <v>1820</v>
      </c>
      <c r="F53" s="115" t="s">
        <v>849</v>
      </c>
      <c r="G53" s="115" t="s">
        <v>1689</v>
      </c>
      <c r="H53" s="115" t="s">
        <v>1821</v>
      </c>
    </row>
    <row r="54" spans="1:8" x14ac:dyDescent="0.35">
      <c r="A54" s="110" t="s">
        <v>940</v>
      </c>
      <c r="B54" s="111" t="s">
        <v>941</v>
      </c>
      <c r="C54" s="112">
        <v>0.32600000000000001</v>
      </c>
      <c r="D54" s="112">
        <v>0.27400000000000002</v>
      </c>
      <c r="E54" s="112">
        <v>0.33700000000000002</v>
      </c>
      <c r="F54" s="112">
        <v>0.25600000000000001</v>
      </c>
      <c r="G54" s="112">
        <v>0.311</v>
      </c>
      <c r="H54" s="112">
        <v>0.32200000000000001</v>
      </c>
    </row>
    <row r="55" spans="1:8" ht="15" thickBot="1" x14ac:dyDescent="0.4">
      <c r="A55" s="113" t="s">
        <v>92</v>
      </c>
      <c r="B55" s="114"/>
      <c r="C55" s="115" t="s">
        <v>1039</v>
      </c>
      <c r="D55" s="115" t="s">
        <v>1002</v>
      </c>
      <c r="E55" s="115" t="s">
        <v>1795</v>
      </c>
      <c r="F55" s="115" t="s">
        <v>1822</v>
      </c>
      <c r="G55" s="115" t="s">
        <v>1683</v>
      </c>
      <c r="H55" s="115" t="s">
        <v>1737</v>
      </c>
    </row>
    <row r="56" spans="1:8" x14ac:dyDescent="0.35">
      <c r="A56" s="110" t="s">
        <v>943</v>
      </c>
      <c r="B56" s="111" t="s">
        <v>944</v>
      </c>
      <c r="C56" s="116">
        <v>2.87</v>
      </c>
      <c r="D56" s="116">
        <v>2.5099999999999998</v>
      </c>
      <c r="E56" s="116">
        <v>2.17</v>
      </c>
      <c r="F56" s="116">
        <v>1.85</v>
      </c>
      <c r="G56" s="116">
        <v>2.41</v>
      </c>
      <c r="H56" s="116">
        <v>2.59</v>
      </c>
    </row>
    <row r="57" spans="1:8" ht="15" thickBot="1" x14ac:dyDescent="0.4">
      <c r="A57" s="113" t="s">
        <v>92</v>
      </c>
      <c r="B57" s="114"/>
      <c r="C57" s="115" t="s">
        <v>1823</v>
      </c>
      <c r="D57" s="115" t="s">
        <v>1792</v>
      </c>
      <c r="E57" s="115" t="s">
        <v>1824</v>
      </c>
      <c r="F57" s="115" t="s">
        <v>1825</v>
      </c>
      <c r="G57" s="115" t="s">
        <v>1826</v>
      </c>
      <c r="H57" s="115" t="s">
        <v>1827</v>
      </c>
    </row>
    <row r="58" spans="1:8" ht="15" thickBot="1" x14ac:dyDescent="0.4">
      <c r="A58" s="108" t="s">
        <v>946</v>
      </c>
      <c r="B58" s="98"/>
      <c r="C58" s="109"/>
      <c r="D58" s="109"/>
      <c r="E58" s="109"/>
      <c r="F58" s="109"/>
      <c r="G58" s="109"/>
      <c r="H58" s="109"/>
    </row>
    <row r="59" spans="1:8" x14ac:dyDescent="0.35">
      <c r="A59" s="110" t="s">
        <v>947</v>
      </c>
      <c r="B59" s="111" t="s">
        <v>948</v>
      </c>
      <c r="C59" s="117">
        <v>113.3</v>
      </c>
      <c r="D59" s="117">
        <v>101.5</v>
      </c>
      <c r="E59" s="117">
        <v>104.8</v>
      </c>
      <c r="F59" s="117">
        <v>106</v>
      </c>
      <c r="G59" s="117">
        <v>87.9</v>
      </c>
      <c r="H59" s="117">
        <v>162.5</v>
      </c>
    </row>
    <row r="60" spans="1:8" ht="15" thickBot="1" x14ac:dyDescent="0.4">
      <c r="A60" s="113" t="s">
        <v>92</v>
      </c>
      <c r="B60" s="114"/>
      <c r="C60" s="115" t="s">
        <v>1815</v>
      </c>
      <c r="D60" s="115" t="s">
        <v>1828</v>
      </c>
      <c r="E60" s="115" t="s">
        <v>1829</v>
      </c>
      <c r="F60" s="115" t="s">
        <v>1737</v>
      </c>
      <c r="G60" s="115" t="s">
        <v>1728</v>
      </c>
      <c r="H60" s="115" t="s">
        <v>1830</v>
      </c>
    </row>
    <row r="61" spans="1:8" x14ac:dyDescent="0.35">
      <c r="A61" s="110" t="s">
        <v>91</v>
      </c>
      <c r="B61" s="111" t="s">
        <v>954</v>
      </c>
      <c r="C61" s="117">
        <v>3.2</v>
      </c>
      <c r="D61" s="117">
        <v>3.6</v>
      </c>
      <c r="E61" s="117">
        <v>3.5</v>
      </c>
      <c r="F61" s="117">
        <v>3.5</v>
      </c>
      <c r="G61" s="117">
        <v>4.2</v>
      </c>
      <c r="H61" s="117">
        <v>2.2999999999999998</v>
      </c>
    </row>
    <row r="62" spans="1:8" ht="15" thickBot="1" x14ac:dyDescent="0.4">
      <c r="A62" s="113" t="s">
        <v>92</v>
      </c>
      <c r="B62" s="114"/>
      <c r="C62" s="115" t="s">
        <v>1831</v>
      </c>
      <c r="D62" s="115" t="s">
        <v>1832</v>
      </c>
      <c r="E62" s="115" t="s">
        <v>841</v>
      </c>
      <c r="F62" s="115" t="s">
        <v>855</v>
      </c>
      <c r="G62" s="115" t="s">
        <v>1831</v>
      </c>
      <c r="H62" s="115" t="s">
        <v>1833</v>
      </c>
    </row>
    <row r="63" spans="1:8" x14ac:dyDescent="0.35">
      <c r="A63" s="110" t="s">
        <v>93</v>
      </c>
      <c r="B63" s="111" t="s">
        <v>955</v>
      </c>
      <c r="C63" s="117">
        <v>8.8000000000000007</v>
      </c>
      <c r="D63" s="117">
        <v>8.3000000000000007</v>
      </c>
      <c r="E63" s="117">
        <v>9.4</v>
      </c>
      <c r="F63" s="117">
        <v>7.9</v>
      </c>
      <c r="G63" s="117">
        <v>7.4</v>
      </c>
      <c r="H63" s="117">
        <v>8.6999999999999993</v>
      </c>
    </row>
    <row r="64" spans="1:8" ht="15" thickBot="1" x14ac:dyDescent="0.4">
      <c r="A64" s="113" t="s">
        <v>92</v>
      </c>
      <c r="B64" s="114"/>
      <c r="C64" s="115" t="s">
        <v>877</v>
      </c>
      <c r="D64" s="115" t="s">
        <v>988</v>
      </c>
      <c r="E64" s="115" t="s">
        <v>1834</v>
      </c>
      <c r="F64" s="115" t="s">
        <v>1030</v>
      </c>
      <c r="G64" s="115" t="s">
        <v>871</v>
      </c>
      <c r="H64" s="115" t="s">
        <v>1835</v>
      </c>
    </row>
    <row r="65" spans="1:8" x14ac:dyDescent="0.35">
      <c r="A65" s="110" t="s">
        <v>99</v>
      </c>
      <c r="B65" s="111" t="s">
        <v>956</v>
      </c>
      <c r="C65" s="117">
        <v>41.8</v>
      </c>
      <c r="D65" s="117">
        <v>44.3</v>
      </c>
      <c r="E65" s="117">
        <v>38.799999999999997</v>
      </c>
      <c r="F65" s="117">
        <v>46.4</v>
      </c>
      <c r="G65" s="117">
        <v>49.6</v>
      </c>
      <c r="H65" s="117">
        <v>42</v>
      </c>
    </row>
    <row r="66" spans="1:8" ht="15" thickBot="1" x14ac:dyDescent="0.4">
      <c r="A66" s="113" t="s">
        <v>92</v>
      </c>
      <c r="B66" s="114"/>
      <c r="C66" s="115" t="s">
        <v>1778</v>
      </c>
      <c r="D66" s="115" t="s">
        <v>1018</v>
      </c>
      <c r="E66" s="115" t="s">
        <v>1076</v>
      </c>
      <c r="F66" s="115" t="s">
        <v>1068</v>
      </c>
      <c r="G66" s="115" t="s">
        <v>1709</v>
      </c>
      <c r="H66" s="115" t="s">
        <v>1836</v>
      </c>
    </row>
    <row r="67" spans="1:8" x14ac:dyDescent="0.35">
      <c r="A67" s="110" t="s">
        <v>100</v>
      </c>
      <c r="B67" s="111" t="s">
        <v>957</v>
      </c>
      <c r="C67" s="117">
        <v>20.2</v>
      </c>
      <c r="D67" s="117">
        <v>19</v>
      </c>
      <c r="E67" s="117">
        <v>15.5</v>
      </c>
      <c r="F67" s="117">
        <v>13.2</v>
      </c>
      <c r="G67" s="117">
        <v>11.5</v>
      </c>
      <c r="H67" s="117">
        <v>11.6</v>
      </c>
    </row>
    <row r="68" spans="1:8" ht="15" thickBot="1" x14ac:dyDescent="0.4">
      <c r="A68" s="113" t="s">
        <v>92</v>
      </c>
      <c r="B68" s="114"/>
      <c r="C68" s="115" t="s">
        <v>1837</v>
      </c>
      <c r="D68" s="115" t="s">
        <v>1742</v>
      </c>
      <c r="E68" s="115" t="s">
        <v>1838</v>
      </c>
      <c r="F68" s="115" t="s">
        <v>1702</v>
      </c>
      <c r="G68" s="115" t="s">
        <v>949</v>
      </c>
      <c r="H68" s="115" t="s">
        <v>1737</v>
      </c>
    </row>
    <row r="69" spans="1:8" x14ac:dyDescent="0.35">
      <c r="A69" s="110" t="s">
        <v>958</v>
      </c>
      <c r="B69" s="111" t="s">
        <v>959</v>
      </c>
      <c r="C69" s="116">
        <v>3.38</v>
      </c>
      <c r="D69" s="116">
        <v>3.08</v>
      </c>
      <c r="E69" s="116">
        <v>2.85</v>
      </c>
      <c r="F69" s="116">
        <v>2.5299999999999998</v>
      </c>
      <c r="G69" s="116">
        <v>2.58</v>
      </c>
      <c r="H69" s="116">
        <v>2.64</v>
      </c>
    </row>
    <row r="70" spans="1:8" ht="15" thickBot="1" x14ac:dyDescent="0.4">
      <c r="A70" s="113" t="s">
        <v>92</v>
      </c>
      <c r="B70" s="114"/>
      <c r="C70" s="115" t="s">
        <v>1839</v>
      </c>
      <c r="D70" s="115" t="s">
        <v>993</v>
      </c>
      <c r="E70" s="115" t="s">
        <v>1840</v>
      </c>
      <c r="F70" s="115" t="s">
        <v>919</v>
      </c>
      <c r="G70" s="115" t="s">
        <v>999</v>
      </c>
      <c r="H70" s="115" t="s">
        <v>861</v>
      </c>
    </row>
    <row r="71" spans="1:8" x14ac:dyDescent="0.35">
      <c r="A71" s="110" t="s">
        <v>964</v>
      </c>
      <c r="B71" s="118" t="s">
        <v>965</v>
      </c>
      <c r="C71" s="112">
        <v>-4.2000000000000003E-2</v>
      </c>
      <c r="D71" s="112">
        <v>1.9E-2</v>
      </c>
      <c r="E71" s="112">
        <v>2.5000000000000001E-2</v>
      </c>
      <c r="F71" s="112">
        <v>-0.02</v>
      </c>
      <c r="G71" s="112">
        <v>0</v>
      </c>
      <c r="H71" s="112">
        <v>2.5000000000000001E-2</v>
      </c>
    </row>
    <row r="72" spans="1:8" ht="15" thickBot="1" x14ac:dyDescent="0.4">
      <c r="A72" s="113" t="s">
        <v>92</v>
      </c>
      <c r="B72" s="114"/>
      <c r="C72" s="115" t="s">
        <v>877</v>
      </c>
      <c r="D72" s="115" t="s">
        <v>1747</v>
      </c>
      <c r="E72" s="115" t="s">
        <v>845</v>
      </c>
      <c r="F72" s="115" t="s">
        <v>1785</v>
      </c>
      <c r="G72" s="115" t="s">
        <v>932</v>
      </c>
      <c r="H72" s="115" t="s">
        <v>981</v>
      </c>
    </row>
    <row r="73" spans="1:8" x14ac:dyDescent="0.35">
      <c r="A73" s="110" t="s">
        <v>969</v>
      </c>
      <c r="B73" s="111" t="s">
        <v>966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 t="s">
        <v>202</v>
      </c>
    </row>
    <row r="74" spans="1:8" ht="15" thickBot="1" x14ac:dyDescent="0.4">
      <c r="A74" s="113" t="s">
        <v>92</v>
      </c>
      <c r="B74" s="114"/>
      <c r="C74" s="115" t="s">
        <v>850</v>
      </c>
      <c r="D74" s="115" t="s">
        <v>850</v>
      </c>
      <c r="E74" s="115" t="s">
        <v>850</v>
      </c>
      <c r="F74" s="115" t="s">
        <v>850</v>
      </c>
      <c r="G74" s="115" t="s">
        <v>850</v>
      </c>
      <c r="H74" s="115" t="s">
        <v>1841</v>
      </c>
    </row>
    <row r="75" spans="1:8" x14ac:dyDescent="0.35">
      <c r="A75" s="110" t="s">
        <v>971</v>
      </c>
      <c r="B75" s="111" t="s">
        <v>945</v>
      </c>
      <c r="C75" s="112">
        <v>0.108</v>
      </c>
      <c r="D75" s="112">
        <v>0.10100000000000001</v>
      </c>
      <c r="E75" s="112">
        <v>7.1999999999999995E-2</v>
      </c>
      <c r="F75" s="112">
        <v>0.155</v>
      </c>
      <c r="G75" s="112">
        <v>0.127</v>
      </c>
      <c r="H75" s="112">
        <v>7.0999999999999994E-2</v>
      </c>
    </row>
    <row r="76" spans="1:8" ht="15" thickBot="1" x14ac:dyDescent="0.4">
      <c r="A76" s="113" t="s">
        <v>92</v>
      </c>
      <c r="B76" s="114"/>
      <c r="C76" s="115" t="s">
        <v>1743</v>
      </c>
      <c r="D76" s="115" t="s">
        <v>838</v>
      </c>
      <c r="E76" s="115" t="s">
        <v>1686</v>
      </c>
      <c r="F76" s="115" t="s">
        <v>906</v>
      </c>
      <c r="G76" s="115" t="s">
        <v>1842</v>
      </c>
      <c r="H76" s="115" t="s">
        <v>897</v>
      </c>
    </row>
    <row r="77" spans="1:8" x14ac:dyDescent="0.35">
      <c r="A77" s="110" t="s">
        <v>973</v>
      </c>
      <c r="B77" s="111" t="s">
        <v>945</v>
      </c>
      <c r="C77" s="117" t="s">
        <v>1843</v>
      </c>
      <c r="D77" s="117" t="s">
        <v>1844</v>
      </c>
      <c r="E77" s="117" t="s">
        <v>1845</v>
      </c>
      <c r="F77" s="117" t="s">
        <v>1846</v>
      </c>
      <c r="G77" s="117" t="s">
        <v>1847</v>
      </c>
      <c r="H77" s="117" t="s">
        <v>1848</v>
      </c>
    </row>
    <row r="78" spans="1:8" ht="15" thickBot="1" x14ac:dyDescent="0.4">
      <c r="A78" s="113" t="s">
        <v>92</v>
      </c>
      <c r="B78" s="114"/>
      <c r="C78" s="115" t="s">
        <v>1687</v>
      </c>
      <c r="D78" s="115" t="s">
        <v>961</v>
      </c>
      <c r="E78" s="115" t="s">
        <v>991</v>
      </c>
      <c r="F78" s="115" t="s">
        <v>1721</v>
      </c>
      <c r="G78" s="115" t="s">
        <v>1849</v>
      </c>
      <c r="H78" s="115" t="s">
        <v>896</v>
      </c>
    </row>
  </sheetData>
  <sortState xmlns:xlrd2="http://schemas.microsoft.com/office/spreadsheetml/2017/richdata2" columnSort="1" ref="C5:H78">
    <sortCondition ref="C5:H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2F29-90E1-45C5-B447-AB858E54F1D6}">
  <dimension ref="A1:H76"/>
  <sheetViews>
    <sheetView topLeftCell="A15" workbookViewId="0">
      <selection activeCell="D39" sqref="D39"/>
    </sheetView>
  </sheetViews>
  <sheetFormatPr defaultRowHeight="14.5" x14ac:dyDescent="0.35"/>
  <sheetData>
    <row r="1" spans="1:8" x14ac:dyDescent="0.35">
      <c r="A1" s="100" t="s">
        <v>834</v>
      </c>
    </row>
    <row r="2" spans="1:8" ht="15" thickBot="1" x14ac:dyDescent="0.4">
      <c r="A2" s="100" t="s">
        <v>835</v>
      </c>
    </row>
    <row r="3" spans="1:8" ht="15" thickBot="1" x14ac:dyDescent="0.4">
      <c r="A3" s="101"/>
      <c r="B3" s="101" t="s">
        <v>253</v>
      </c>
      <c r="C3" s="102">
        <v>2018</v>
      </c>
      <c r="D3" s="102">
        <v>2019</v>
      </c>
      <c r="E3" s="102">
        <v>2020</v>
      </c>
      <c r="F3" s="102">
        <v>2021</v>
      </c>
      <c r="G3" s="102">
        <v>2022</v>
      </c>
      <c r="H3" s="102">
        <v>2023</v>
      </c>
    </row>
    <row r="4" spans="1:8" ht="15" thickBot="1" x14ac:dyDescent="0.4">
      <c r="A4" s="103" t="s">
        <v>312</v>
      </c>
      <c r="B4" s="104">
        <v>40</v>
      </c>
      <c r="C4" s="104">
        <v>67</v>
      </c>
      <c r="D4" s="104">
        <v>68</v>
      </c>
      <c r="E4" s="121">
        <v>77</v>
      </c>
      <c r="F4" s="104">
        <v>39</v>
      </c>
      <c r="G4" s="121">
        <v>74</v>
      </c>
      <c r="H4" s="121">
        <v>82</v>
      </c>
    </row>
    <row r="5" spans="1:8" ht="15" thickBot="1" x14ac:dyDescent="0.4">
      <c r="A5" s="106" t="s">
        <v>1669</v>
      </c>
      <c r="B5" s="107">
        <v>23450</v>
      </c>
      <c r="C5" s="107">
        <v>214.50216499999999</v>
      </c>
      <c r="D5" s="107">
        <v>209.337784</v>
      </c>
      <c r="E5" s="107">
        <v>219.62243100000001</v>
      </c>
      <c r="F5" s="107">
        <v>208.437218</v>
      </c>
      <c r="G5" s="107">
        <v>187.719875</v>
      </c>
      <c r="H5" s="107">
        <v>176.59462300000001</v>
      </c>
    </row>
    <row r="6" spans="1:8" ht="15" thickBot="1" x14ac:dyDescent="0.4">
      <c r="A6" s="108" t="s">
        <v>836</v>
      </c>
      <c r="B6" s="98"/>
      <c r="C6" s="109"/>
      <c r="D6" s="109"/>
      <c r="E6" s="109"/>
      <c r="F6" s="109"/>
      <c r="G6" s="109"/>
      <c r="H6" s="109"/>
    </row>
    <row r="7" spans="1:8" x14ac:dyDescent="0.35">
      <c r="A7" s="110" t="s">
        <v>837</v>
      </c>
      <c r="B7" s="123">
        <v>0.27600000000000002</v>
      </c>
      <c r="C7" s="112">
        <v>0.57299999999999995</v>
      </c>
      <c r="D7" s="112">
        <v>0.57999999999999996</v>
      </c>
      <c r="E7" s="112">
        <v>0.57799999999999996</v>
      </c>
      <c r="F7" s="112">
        <v>0.58799999999999997</v>
      </c>
      <c r="G7" s="112">
        <v>0.59799999999999998</v>
      </c>
      <c r="H7" s="112">
        <v>0.59699999999999998</v>
      </c>
    </row>
    <row r="8" spans="1:8" ht="15" thickBot="1" x14ac:dyDescent="0.4">
      <c r="A8" s="113" t="s">
        <v>92</v>
      </c>
      <c r="B8" s="114"/>
      <c r="C8" s="115" t="s">
        <v>845</v>
      </c>
      <c r="D8" s="115" t="s">
        <v>846</v>
      </c>
      <c r="E8" s="115" t="s">
        <v>856</v>
      </c>
      <c r="F8" s="115" t="s">
        <v>1673</v>
      </c>
      <c r="G8" s="115" t="s">
        <v>1673</v>
      </c>
      <c r="H8" s="115" t="s">
        <v>970</v>
      </c>
    </row>
    <row r="9" spans="1:8" x14ac:dyDescent="0.35">
      <c r="A9" s="110" t="s">
        <v>842</v>
      </c>
      <c r="B9" s="111" t="s">
        <v>1671</v>
      </c>
      <c r="C9" s="112">
        <v>0.16200000000000001</v>
      </c>
      <c r="D9" s="112">
        <v>0.16500000000000001</v>
      </c>
      <c r="E9" s="112">
        <v>0.16700000000000001</v>
      </c>
      <c r="F9" s="112">
        <v>0.17100000000000001</v>
      </c>
      <c r="G9" s="112">
        <v>0.185</v>
      </c>
      <c r="H9" s="112">
        <v>0.189</v>
      </c>
    </row>
    <row r="10" spans="1:8" ht="15" thickBot="1" x14ac:dyDescent="0.4">
      <c r="A10" s="113" t="s">
        <v>92</v>
      </c>
      <c r="B10" s="114"/>
      <c r="C10" s="115" t="s">
        <v>839</v>
      </c>
      <c r="D10" s="115" t="s">
        <v>1029</v>
      </c>
      <c r="E10" s="115" t="s">
        <v>1756</v>
      </c>
      <c r="F10" s="115" t="s">
        <v>839</v>
      </c>
      <c r="G10" s="115" t="s">
        <v>921</v>
      </c>
      <c r="H10" s="115" t="s">
        <v>839</v>
      </c>
    </row>
    <row r="11" spans="1:8" x14ac:dyDescent="0.35">
      <c r="A11" s="110" t="s">
        <v>274</v>
      </c>
      <c r="B11" s="111">
        <v>3.9E-2</v>
      </c>
      <c r="C11" s="112">
        <v>0.107</v>
      </c>
      <c r="D11" s="112">
        <v>0.104</v>
      </c>
      <c r="E11" s="112">
        <v>0.107</v>
      </c>
      <c r="F11" s="112">
        <v>0.107</v>
      </c>
      <c r="G11" s="112">
        <v>0.127</v>
      </c>
      <c r="H11" s="112">
        <v>0.13600000000000001</v>
      </c>
    </row>
    <row r="12" spans="1:8" ht="15" thickBot="1" x14ac:dyDescent="0.4">
      <c r="A12" s="113" t="s">
        <v>92</v>
      </c>
      <c r="B12" s="114"/>
      <c r="C12" s="115" t="s">
        <v>1737</v>
      </c>
      <c r="D12" s="115" t="s">
        <v>942</v>
      </c>
      <c r="E12" s="115" t="s">
        <v>1029</v>
      </c>
      <c r="F12" s="115" t="s">
        <v>850</v>
      </c>
      <c r="G12" s="115" t="s">
        <v>932</v>
      </c>
      <c r="H12" s="115" t="s">
        <v>1682</v>
      </c>
    </row>
    <row r="13" spans="1:8" x14ac:dyDescent="0.35">
      <c r="A13" s="110" t="s">
        <v>853</v>
      </c>
      <c r="B13" s="111" t="s">
        <v>992</v>
      </c>
      <c r="C13" s="112">
        <v>0.13300000000000001</v>
      </c>
      <c r="D13" s="112">
        <v>0.13700000000000001</v>
      </c>
      <c r="E13" s="112">
        <v>0.14499999999999999</v>
      </c>
      <c r="F13" s="112">
        <v>0.154</v>
      </c>
      <c r="G13" s="112">
        <v>0.16700000000000001</v>
      </c>
      <c r="H13" s="112">
        <v>0.16300000000000001</v>
      </c>
    </row>
    <row r="14" spans="1:8" ht="15" thickBot="1" x14ac:dyDescent="0.4">
      <c r="A14" s="113" t="s">
        <v>92</v>
      </c>
      <c r="B14" s="114"/>
      <c r="C14" s="115" t="s">
        <v>839</v>
      </c>
      <c r="D14" s="115" t="s">
        <v>839</v>
      </c>
      <c r="E14" s="115" t="s">
        <v>863</v>
      </c>
      <c r="F14" s="115" t="s">
        <v>1682</v>
      </c>
      <c r="G14" s="115" t="s">
        <v>1065</v>
      </c>
      <c r="H14" s="115" t="s">
        <v>844</v>
      </c>
    </row>
    <row r="15" spans="1:8" x14ac:dyDescent="0.35">
      <c r="A15" s="110" t="s">
        <v>859</v>
      </c>
      <c r="B15" s="111" t="s">
        <v>1676</v>
      </c>
      <c r="C15" s="112">
        <v>0.27700000000000002</v>
      </c>
      <c r="D15" s="112">
        <v>0.28000000000000003</v>
      </c>
      <c r="E15" s="112">
        <v>0.23599999999999999</v>
      </c>
      <c r="F15" s="112">
        <v>0.26700000000000002</v>
      </c>
      <c r="G15" s="112">
        <v>0.29099999999999998</v>
      </c>
      <c r="H15" s="112">
        <v>0.28799999999999998</v>
      </c>
    </row>
    <row r="16" spans="1:8" ht="15" thickBot="1" x14ac:dyDescent="0.4">
      <c r="A16" s="113" t="s">
        <v>92</v>
      </c>
      <c r="B16" s="114"/>
      <c r="C16" s="115" t="s">
        <v>893</v>
      </c>
      <c r="D16" s="115" t="s">
        <v>1029</v>
      </c>
      <c r="E16" s="115" t="s">
        <v>1026</v>
      </c>
      <c r="F16" s="115" t="s">
        <v>968</v>
      </c>
      <c r="G16" s="115" t="s">
        <v>999</v>
      </c>
      <c r="H16" s="115" t="s">
        <v>942</v>
      </c>
    </row>
    <row r="17" spans="1:8" x14ac:dyDescent="0.35">
      <c r="A17" s="110" t="s">
        <v>864</v>
      </c>
      <c r="B17" s="111" t="s">
        <v>963</v>
      </c>
      <c r="C17" s="112">
        <v>9.6000000000000002E-2</v>
      </c>
      <c r="D17" s="112">
        <v>9.9000000000000005E-2</v>
      </c>
      <c r="E17" s="112">
        <v>0.11</v>
      </c>
      <c r="F17" s="112">
        <v>0.113</v>
      </c>
      <c r="G17" s="112">
        <v>0.11899999999999999</v>
      </c>
      <c r="H17" s="112">
        <v>0.11600000000000001</v>
      </c>
    </row>
    <row r="18" spans="1:8" ht="15" thickBot="1" x14ac:dyDescent="0.4">
      <c r="A18" s="113" t="s">
        <v>92</v>
      </c>
      <c r="B18" s="114"/>
      <c r="C18" s="115" t="s">
        <v>839</v>
      </c>
      <c r="D18" s="115" t="s">
        <v>1029</v>
      </c>
      <c r="E18" s="115" t="s">
        <v>1737</v>
      </c>
      <c r="F18" s="115" t="s">
        <v>1029</v>
      </c>
      <c r="G18" s="115" t="s">
        <v>845</v>
      </c>
      <c r="H18" s="115" t="s">
        <v>942</v>
      </c>
    </row>
    <row r="19" spans="1:8" ht="15" thickBot="1" x14ac:dyDescent="0.4">
      <c r="A19" s="108" t="s">
        <v>866</v>
      </c>
      <c r="B19" s="98"/>
      <c r="C19" s="109"/>
      <c r="D19" s="109"/>
      <c r="E19" s="109"/>
      <c r="F19" s="109"/>
      <c r="G19" s="109"/>
      <c r="H19" s="109"/>
    </row>
    <row r="20" spans="1:8" x14ac:dyDescent="0.35">
      <c r="A20" s="110" t="s">
        <v>867</v>
      </c>
      <c r="B20" s="111" t="s">
        <v>1679</v>
      </c>
      <c r="C20" s="116">
        <v>0.66</v>
      </c>
      <c r="D20" s="116">
        <v>0.65</v>
      </c>
      <c r="E20" s="116">
        <v>0.65</v>
      </c>
      <c r="F20" s="116">
        <v>0.61</v>
      </c>
      <c r="G20" s="116">
        <v>0.63</v>
      </c>
      <c r="H20" s="116">
        <v>0.68</v>
      </c>
    </row>
    <row r="21" spans="1:8" ht="15" thickBot="1" x14ac:dyDescent="0.4">
      <c r="A21" s="113" t="s">
        <v>92</v>
      </c>
      <c r="B21" s="114"/>
      <c r="C21" s="115" t="s">
        <v>1028</v>
      </c>
      <c r="D21" s="115" t="s">
        <v>94</v>
      </c>
      <c r="E21" s="115" t="s">
        <v>942</v>
      </c>
      <c r="F21" s="115" t="s">
        <v>1727</v>
      </c>
      <c r="G21" s="115" t="s">
        <v>1013</v>
      </c>
      <c r="H21" s="115" t="s">
        <v>1709</v>
      </c>
    </row>
    <row r="22" spans="1:8" x14ac:dyDescent="0.35">
      <c r="A22" s="110" t="s">
        <v>873</v>
      </c>
      <c r="B22" s="111" t="s">
        <v>992</v>
      </c>
      <c r="C22" s="112">
        <v>0.13300000000000001</v>
      </c>
      <c r="D22" s="112">
        <v>0.13700000000000001</v>
      </c>
      <c r="E22" s="112">
        <v>0.14499999999999999</v>
      </c>
      <c r="F22" s="112">
        <v>0.154</v>
      </c>
      <c r="G22" s="112">
        <v>0.16700000000000001</v>
      </c>
      <c r="H22" s="112">
        <v>0.16300000000000001</v>
      </c>
    </row>
    <row r="23" spans="1:8" ht="15" thickBot="1" x14ac:dyDescent="0.4">
      <c r="A23" s="113" t="s">
        <v>92</v>
      </c>
      <c r="B23" s="114"/>
      <c r="C23" s="115" t="s">
        <v>839</v>
      </c>
      <c r="D23" s="115" t="s">
        <v>839</v>
      </c>
      <c r="E23" s="115" t="s">
        <v>863</v>
      </c>
      <c r="F23" s="115" t="s">
        <v>1682</v>
      </c>
      <c r="G23" s="115" t="s">
        <v>1065</v>
      </c>
      <c r="H23" s="115" t="s">
        <v>844</v>
      </c>
    </row>
    <row r="24" spans="1:8" x14ac:dyDescent="0.35">
      <c r="A24" s="110" t="s">
        <v>874</v>
      </c>
      <c r="B24" s="111" t="s">
        <v>1683</v>
      </c>
      <c r="C24" s="112">
        <v>8.7999999999999995E-2</v>
      </c>
      <c r="D24" s="112">
        <v>0.09</v>
      </c>
      <c r="E24" s="112">
        <v>9.4E-2</v>
      </c>
      <c r="F24" s="112">
        <v>9.4E-2</v>
      </c>
      <c r="G24" s="112">
        <v>0.106</v>
      </c>
      <c r="H24" s="112">
        <v>0.11</v>
      </c>
    </row>
    <row r="25" spans="1:8" ht="15" thickBot="1" x14ac:dyDescent="0.4">
      <c r="A25" s="113" t="s">
        <v>92</v>
      </c>
      <c r="B25" s="114"/>
      <c r="C25" s="115" t="s">
        <v>839</v>
      </c>
      <c r="D25" s="115" t="s">
        <v>1756</v>
      </c>
      <c r="E25" s="115" t="s">
        <v>839</v>
      </c>
      <c r="F25" s="115" t="s">
        <v>850</v>
      </c>
      <c r="G25" s="115" t="s">
        <v>1674</v>
      </c>
      <c r="H25" s="115" t="s">
        <v>839</v>
      </c>
    </row>
    <row r="26" spans="1:8" x14ac:dyDescent="0.35">
      <c r="A26" s="110" t="s">
        <v>881</v>
      </c>
      <c r="B26" s="111" t="s">
        <v>1685</v>
      </c>
      <c r="C26" s="116">
        <v>1.78</v>
      </c>
      <c r="D26" s="116">
        <v>1.73</v>
      </c>
      <c r="E26" s="116">
        <v>1.68</v>
      </c>
      <c r="F26" s="116">
        <v>1.57</v>
      </c>
      <c r="G26" s="116">
        <v>1.51</v>
      </c>
      <c r="H26" s="116">
        <v>1.5</v>
      </c>
    </row>
    <row r="27" spans="1:8" ht="15" thickBot="1" x14ac:dyDescent="0.4">
      <c r="A27" s="113" t="s">
        <v>92</v>
      </c>
      <c r="B27" s="114"/>
      <c r="C27" s="115" t="s">
        <v>1703</v>
      </c>
      <c r="D27" s="115" t="s">
        <v>1842</v>
      </c>
      <c r="E27" s="115" t="s">
        <v>1686</v>
      </c>
      <c r="F27" s="115" t="s">
        <v>95</v>
      </c>
      <c r="G27" s="115" t="s">
        <v>1782</v>
      </c>
      <c r="H27" s="115" t="s">
        <v>844</v>
      </c>
    </row>
    <row r="28" spans="1:8" x14ac:dyDescent="0.35">
      <c r="A28" s="110" t="s">
        <v>885</v>
      </c>
      <c r="B28" s="111" t="s">
        <v>962</v>
      </c>
      <c r="C28" s="112">
        <v>0.154</v>
      </c>
      <c r="D28" s="112">
        <v>0.157</v>
      </c>
      <c r="E28" s="112">
        <v>0.161</v>
      </c>
      <c r="F28" s="112">
        <v>0.152</v>
      </c>
      <c r="G28" s="112">
        <v>0.16300000000000001</v>
      </c>
      <c r="H28" s="112">
        <v>0.16600000000000001</v>
      </c>
    </row>
    <row r="29" spans="1:8" ht="15" thickBot="1" x14ac:dyDescent="0.4">
      <c r="A29" s="113" t="s">
        <v>92</v>
      </c>
      <c r="B29" s="114"/>
      <c r="C29" s="115" t="s">
        <v>1673</v>
      </c>
      <c r="D29" s="115" t="s">
        <v>1029</v>
      </c>
      <c r="E29" s="115" t="s">
        <v>839</v>
      </c>
      <c r="F29" s="115" t="s">
        <v>1678</v>
      </c>
      <c r="G29" s="115" t="s">
        <v>1737</v>
      </c>
      <c r="H29" s="115" t="s">
        <v>1029</v>
      </c>
    </row>
    <row r="30" spans="1:8" x14ac:dyDescent="0.35">
      <c r="A30" s="110" t="s">
        <v>890</v>
      </c>
      <c r="B30" s="111" t="s">
        <v>1691</v>
      </c>
      <c r="C30" s="116">
        <v>0.64</v>
      </c>
      <c r="D30" s="116">
        <v>0.63</v>
      </c>
      <c r="E30" s="116">
        <v>0.68</v>
      </c>
      <c r="F30" s="116">
        <v>0.66</v>
      </c>
      <c r="G30" s="116">
        <v>0.65</v>
      </c>
      <c r="H30" s="116">
        <v>0.64</v>
      </c>
    </row>
    <row r="31" spans="1:8" ht="15" thickBot="1" x14ac:dyDescent="0.4">
      <c r="A31" s="113" t="s">
        <v>92</v>
      </c>
      <c r="B31" s="114"/>
      <c r="C31" s="115" t="s">
        <v>1688</v>
      </c>
      <c r="D31" s="115" t="s">
        <v>1063</v>
      </c>
      <c r="E31" s="115" t="s">
        <v>1850</v>
      </c>
      <c r="F31" s="115" t="s">
        <v>878</v>
      </c>
      <c r="G31" s="115" t="s">
        <v>877</v>
      </c>
      <c r="H31" s="115" t="s">
        <v>856</v>
      </c>
    </row>
    <row r="32" spans="1:8" x14ac:dyDescent="0.35">
      <c r="A32" s="110" t="s">
        <v>306</v>
      </c>
      <c r="B32" s="111" t="s">
        <v>1695</v>
      </c>
      <c r="C32" s="112">
        <v>9.8000000000000004E-2</v>
      </c>
      <c r="D32" s="112">
        <v>9.8000000000000004E-2</v>
      </c>
      <c r="E32" s="112">
        <v>0.109</v>
      </c>
      <c r="F32" s="112">
        <v>0.10100000000000001</v>
      </c>
      <c r="G32" s="112">
        <v>0.106</v>
      </c>
      <c r="H32" s="112">
        <v>0.107</v>
      </c>
    </row>
    <row r="33" spans="1:8" ht="15" thickBot="1" x14ac:dyDescent="0.4">
      <c r="A33" s="113" t="s">
        <v>92</v>
      </c>
      <c r="B33" s="114"/>
      <c r="C33" s="115" t="s">
        <v>1682</v>
      </c>
      <c r="D33" s="115" t="s">
        <v>850</v>
      </c>
      <c r="E33" s="115" t="s">
        <v>1737</v>
      </c>
      <c r="F33" s="115" t="s">
        <v>840</v>
      </c>
      <c r="G33" s="115" t="s">
        <v>1672</v>
      </c>
      <c r="H33" s="115" t="s">
        <v>849</v>
      </c>
    </row>
    <row r="34" spans="1:8" x14ac:dyDescent="0.35">
      <c r="A34" s="110" t="s">
        <v>898</v>
      </c>
      <c r="B34" s="111" t="s">
        <v>1699</v>
      </c>
      <c r="C34" s="116">
        <v>0.84</v>
      </c>
      <c r="D34" s="116">
        <v>0.8</v>
      </c>
      <c r="E34" s="116">
        <v>0.81</v>
      </c>
      <c r="F34" s="116">
        <v>0.79</v>
      </c>
      <c r="G34" s="116">
        <v>0.74</v>
      </c>
      <c r="H34" s="116">
        <v>0.72</v>
      </c>
    </row>
    <row r="35" spans="1:8" ht="15" thickBot="1" x14ac:dyDescent="0.4">
      <c r="A35" s="113" t="s">
        <v>92</v>
      </c>
      <c r="B35" s="114"/>
      <c r="C35" s="115" t="s">
        <v>1694</v>
      </c>
      <c r="D35" s="115" t="s">
        <v>876</v>
      </c>
      <c r="E35" s="115" t="s">
        <v>932</v>
      </c>
      <c r="F35" s="115" t="s">
        <v>96</v>
      </c>
      <c r="G35" s="115" t="s">
        <v>988</v>
      </c>
      <c r="H35" s="115" t="s">
        <v>1686</v>
      </c>
    </row>
    <row r="36" spans="1:8" x14ac:dyDescent="0.35">
      <c r="A36" s="110" t="s">
        <v>905</v>
      </c>
      <c r="B36" s="111" t="s">
        <v>1703</v>
      </c>
      <c r="C36" s="112">
        <v>8.2000000000000003E-2</v>
      </c>
      <c r="D36" s="112">
        <v>7.9000000000000001E-2</v>
      </c>
      <c r="E36" s="112">
        <v>8.8999999999999996E-2</v>
      </c>
      <c r="F36" s="112">
        <v>7.9000000000000001E-2</v>
      </c>
      <c r="G36" s="112">
        <v>7.9000000000000001E-2</v>
      </c>
      <c r="H36" s="112">
        <v>7.6999999999999999E-2</v>
      </c>
    </row>
    <row r="37" spans="1:8" ht="15" thickBot="1" x14ac:dyDescent="0.4">
      <c r="A37" s="113" t="s">
        <v>92</v>
      </c>
      <c r="B37" s="114"/>
      <c r="C37" s="115" t="s">
        <v>863</v>
      </c>
      <c r="D37" s="115" t="s">
        <v>942</v>
      </c>
      <c r="E37" s="115" t="s">
        <v>1673</v>
      </c>
      <c r="F37" s="115" t="s">
        <v>887</v>
      </c>
      <c r="G37" s="115" t="s">
        <v>850</v>
      </c>
      <c r="H37" s="115" t="s">
        <v>856</v>
      </c>
    </row>
    <row r="38" spans="1:8" ht="15" thickBot="1" x14ac:dyDescent="0.4">
      <c r="A38" s="108" t="s">
        <v>911</v>
      </c>
      <c r="B38" s="98"/>
      <c r="C38" s="109"/>
      <c r="D38" s="109"/>
      <c r="E38" s="109"/>
      <c r="F38" s="109"/>
      <c r="G38" s="109"/>
      <c r="H38" s="109"/>
    </row>
    <row r="39" spans="1:8" x14ac:dyDescent="0.35">
      <c r="A39" s="110" t="s">
        <v>912</v>
      </c>
      <c r="B39" s="111" t="s">
        <v>1705</v>
      </c>
      <c r="C39" s="116">
        <v>1.34</v>
      </c>
      <c r="D39" s="116">
        <v>1.89</v>
      </c>
      <c r="E39" s="116">
        <v>2.17</v>
      </c>
      <c r="F39" s="116">
        <v>2.56</v>
      </c>
      <c r="G39" s="116">
        <v>3.02</v>
      </c>
      <c r="H39" s="116">
        <v>2.15</v>
      </c>
    </row>
    <row r="40" spans="1:8" ht="15" thickBot="1" x14ac:dyDescent="0.4">
      <c r="A40" s="113" t="s">
        <v>92</v>
      </c>
      <c r="B40" s="114"/>
      <c r="C40" s="115" t="s">
        <v>1851</v>
      </c>
      <c r="D40" s="115" t="s">
        <v>1852</v>
      </c>
      <c r="E40" s="115" t="s">
        <v>1853</v>
      </c>
      <c r="F40" s="115" t="s">
        <v>1854</v>
      </c>
      <c r="G40" s="115" t="s">
        <v>1716</v>
      </c>
      <c r="H40" s="115" t="s">
        <v>1821</v>
      </c>
    </row>
    <row r="41" spans="1:8" x14ac:dyDescent="0.35">
      <c r="A41" s="110" t="s">
        <v>916</v>
      </c>
      <c r="B41" s="111" t="s">
        <v>1710</v>
      </c>
      <c r="C41" s="116">
        <v>1.52</v>
      </c>
      <c r="D41" s="116">
        <v>2.14</v>
      </c>
      <c r="E41" s="116">
        <v>2.44</v>
      </c>
      <c r="F41" s="116">
        <v>2.85</v>
      </c>
      <c r="G41" s="116">
        <v>3.36</v>
      </c>
      <c r="H41" s="116">
        <v>2.4</v>
      </c>
    </row>
    <row r="42" spans="1:8" ht="15" thickBot="1" x14ac:dyDescent="0.4">
      <c r="A42" s="113" t="s">
        <v>92</v>
      </c>
      <c r="B42" s="114"/>
      <c r="C42" s="115" t="s">
        <v>1855</v>
      </c>
      <c r="D42" s="115" t="s">
        <v>1856</v>
      </c>
      <c r="E42" s="115" t="s">
        <v>1857</v>
      </c>
      <c r="F42" s="115" t="s">
        <v>1858</v>
      </c>
      <c r="G42" s="115" t="s">
        <v>1859</v>
      </c>
      <c r="H42" s="115" t="s">
        <v>1860</v>
      </c>
    </row>
    <row r="43" spans="1:8" x14ac:dyDescent="0.35">
      <c r="A43" s="110" t="s">
        <v>922</v>
      </c>
      <c r="B43" s="111" t="s">
        <v>1714</v>
      </c>
      <c r="C43" s="117">
        <v>66.7</v>
      </c>
      <c r="D43" s="117">
        <v>63</v>
      </c>
      <c r="E43" s="117">
        <v>52.2</v>
      </c>
      <c r="F43" s="117">
        <v>57.6</v>
      </c>
      <c r="G43" s="117">
        <v>78.2</v>
      </c>
      <c r="H43" s="117">
        <v>99.2</v>
      </c>
    </row>
    <row r="44" spans="1:8" ht="15" thickBot="1" x14ac:dyDescent="0.4">
      <c r="A44" s="113" t="s">
        <v>92</v>
      </c>
      <c r="B44" s="114"/>
      <c r="C44" s="115" t="s">
        <v>1861</v>
      </c>
      <c r="D44" s="115" t="s">
        <v>988</v>
      </c>
      <c r="E44" s="115" t="s">
        <v>1728</v>
      </c>
      <c r="F44" s="115" t="s">
        <v>1715</v>
      </c>
      <c r="G44" s="115" t="s">
        <v>1862</v>
      </c>
      <c r="H44" s="115" t="s">
        <v>1863</v>
      </c>
    </row>
    <row r="45" spans="1:8" x14ac:dyDescent="0.35">
      <c r="A45" s="110" t="s">
        <v>929</v>
      </c>
      <c r="B45" s="111" t="s">
        <v>1719</v>
      </c>
      <c r="C45" s="117">
        <v>50</v>
      </c>
      <c r="D45" s="117">
        <v>45</v>
      </c>
      <c r="E45" s="117">
        <v>49</v>
      </c>
      <c r="F45" s="117">
        <v>57</v>
      </c>
      <c r="G45" s="117">
        <v>55.7</v>
      </c>
      <c r="H45" s="117">
        <v>54.1</v>
      </c>
    </row>
    <row r="46" spans="1:8" ht="15" thickBot="1" x14ac:dyDescent="0.4">
      <c r="A46" s="113" t="s">
        <v>92</v>
      </c>
      <c r="B46" s="114"/>
      <c r="C46" s="115" t="s">
        <v>1864</v>
      </c>
      <c r="D46" s="115" t="s">
        <v>1724</v>
      </c>
      <c r="E46" s="115" t="s">
        <v>1865</v>
      </c>
      <c r="F46" s="115" t="s">
        <v>1866</v>
      </c>
      <c r="G46" s="115" t="s">
        <v>878</v>
      </c>
      <c r="H46" s="115" t="s">
        <v>1686</v>
      </c>
    </row>
    <row r="47" spans="1:8" ht="15" thickBot="1" x14ac:dyDescent="0.4">
      <c r="A47" s="108" t="s">
        <v>305</v>
      </c>
      <c r="B47" s="98"/>
      <c r="C47" s="109"/>
      <c r="D47" s="109"/>
      <c r="E47" s="109"/>
      <c r="F47" s="109"/>
      <c r="G47" s="109"/>
      <c r="H47" s="109"/>
    </row>
    <row r="48" spans="1:8" x14ac:dyDescent="0.35">
      <c r="A48" s="110" t="s">
        <v>934</v>
      </c>
      <c r="B48" s="111" t="s">
        <v>1685</v>
      </c>
      <c r="C48" s="116">
        <v>1.78</v>
      </c>
      <c r="D48" s="116">
        <v>1.73</v>
      </c>
      <c r="E48" s="116">
        <v>1.68</v>
      </c>
      <c r="F48" s="116">
        <v>1.57</v>
      </c>
      <c r="G48" s="116">
        <v>1.51</v>
      </c>
      <c r="H48" s="116">
        <v>1.5</v>
      </c>
    </row>
    <row r="49" spans="1:8" ht="15" thickBot="1" x14ac:dyDescent="0.4">
      <c r="A49" s="113" t="s">
        <v>92</v>
      </c>
      <c r="B49" s="114"/>
      <c r="C49" s="115" t="s">
        <v>1703</v>
      </c>
      <c r="D49" s="115" t="s">
        <v>1842</v>
      </c>
      <c r="E49" s="115" t="s">
        <v>1686</v>
      </c>
      <c r="F49" s="115" t="s">
        <v>95</v>
      </c>
      <c r="G49" s="115" t="s">
        <v>1782</v>
      </c>
      <c r="H49" s="115" t="s">
        <v>844</v>
      </c>
    </row>
    <row r="50" spans="1:8" x14ac:dyDescent="0.35">
      <c r="A50" s="110" t="s">
        <v>935</v>
      </c>
      <c r="B50" s="111" t="s">
        <v>1723</v>
      </c>
      <c r="C50" s="116">
        <v>0.39</v>
      </c>
      <c r="D50" s="116">
        <v>0.34</v>
      </c>
      <c r="E50" s="116">
        <v>0.31</v>
      </c>
      <c r="F50" s="116">
        <v>0.24</v>
      </c>
      <c r="G50" s="116">
        <v>0.18</v>
      </c>
      <c r="H50" s="116">
        <v>0.15</v>
      </c>
    </row>
    <row r="51" spans="1:8" ht="15" thickBot="1" x14ac:dyDescent="0.4">
      <c r="A51" s="113" t="s">
        <v>92</v>
      </c>
      <c r="B51" s="114"/>
      <c r="C51" s="115" t="s">
        <v>1867</v>
      </c>
      <c r="D51" s="115" t="s">
        <v>1808</v>
      </c>
      <c r="E51" s="115" t="s">
        <v>1736</v>
      </c>
      <c r="F51" s="115" t="s">
        <v>1868</v>
      </c>
      <c r="G51" s="115" t="s">
        <v>1869</v>
      </c>
      <c r="H51" s="115" t="s">
        <v>1728</v>
      </c>
    </row>
    <row r="52" spans="1:8" x14ac:dyDescent="0.35">
      <c r="A52" s="110" t="s">
        <v>940</v>
      </c>
      <c r="B52" s="111" t="s">
        <v>875</v>
      </c>
      <c r="C52" s="112">
        <v>8.8999999999999996E-2</v>
      </c>
      <c r="D52" s="112">
        <v>0.156</v>
      </c>
      <c r="E52" s="112">
        <v>0.14799999999999999</v>
      </c>
      <c r="F52" s="112">
        <v>0.13400000000000001</v>
      </c>
      <c r="G52" s="112">
        <v>0.11899999999999999</v>
      </c>
      <c r="H52" s="112">
        <v>3.5999999999999997E-2</v>
      </c>
    </row>
    <row r="53" spans="1:8" ht="15" thickBot="1" x14ac:dyDescent="0.4">
      <c r="A53" s="113" t="s">
        <v>92</v>
      </c>
      <c r="B53" s="114"/>
      <c r="C53" s="115" t="s">
        <v>998</v>
      </c>
      <c r="D53" s="115" t="s">
        <v>1749</v>
      </c>
      <c r="E53" s="115" t="s">
        <v>840</v>
      </c>
      <c r="F53" s="115" t="s">
        <v>848</v>
      </c>
      <c r="G53" s="115" t="s">
        <v>857</v>
      </c>
      <c r="H53" s="115" t="s">
        <v>1670</v>
      </c>
    </row>
    <row r="54" spans="1:8" x14ac:dyDescent="0.35">
      <c r="A54" s="110" t="s">
        <v>943</v>
      </c>
      <c r="B54" s="111" t="s">
        <v>1729</v>
      </c>
      <c r="C54" s="116" t="s">
        <v>202</v>
      </c>
      <c r="D54" s="116" t="s">
        <v>202</v>
      </c>
      <c r="E54" s="116" t="s">
        <v>202</v>
      </c>
      <c r="F54" s="116" t="s">
        <v>202</v>
      </c>
      <c r="G54" s="116" t="s">
        <v>202</v>
      </c>
      <c r="H54" s="116" t="s">
        <v>202</v>
      </c>
    </row>
    <row r="55" spans="1:8" ht="15" thickBot="1" x14ac:dyDescent="0.4">
      <c r="A55" s="113" t="s">
        <v>92</v>
      </c>
      <c r="B55" s="114"/>
      <c r="C55" s="115" t="s">
        <v>945</v>
      </c>
      <c r="D55" s="115" t="s">
        <v>945</v>
      </c>
      <c r="E55" s="115" t="s">
        <v>945</v>
      </c>
      <c r="F55" s="115" t="s">
        <v>945</v>
      </c>
      <c r="G55" s="115" t="s">
        <v>945</v>
      </c>
      <c r="H55" s="115" t="s">
        <v>945</v>
      </c>
    </row>
    <row r="56" spans="1:8" ht="15" thickBot="1" x14ac:dyDescent="0.4">
      <c r="A56" s="108" t="s">
        <v>946</v>
      </c>
      <c r="B56" s="98"/>
      <c r="C56" s="109"/>
      <c r="D56" s="109"/>
      <c r="E56" s="109"/>
      <c r="F56" s="109"/>
      <c r="G56" s="109"/>
      <c r="H56" s="109"/>
    </row>
    <row r="57" spans="1:8" x14ac:dyDescent="0.35">
      <c r="A57" s="110" t="s">
        <v>947</v>
      </c>
      <c r="B57" s="111" t="s">
        <v>1735</v>
      </c>
      <c r="C57" s="117">
        <v>7.3</v>
      </c>
      <c r="D57" s="117">
        <v>7.5</v>
      </c>
      <c r="E57" s="117">
        <v>7.8</v>
      </c>
      <c r="F57" s="117">
        <v>7.6</v>
      </c>
      <c r="G57" s="117">
        <v>8.1</v>
      </c>
      <c r="H57" s="117">
        <v>8.6</v>
      </c>
    </row>
    <row r="58" spans="1:8" ht="15" thickBot="1" x14ac:dyDescent="0.4">
      <c r="A58" s="113" t="s">
        <v>92</v>
      </c>
      <c r="B58" s="114"/>
      <c r="C58" s="115" t="s">
        <v>1870</v>
      </c>
      <c r="D58" s="115" t="s">
        <v>1688</v>
      </c>
      <c r="E58" s="115" t="s">
        <v>884</v>
      </c>
      <c r="F58" s="115" t="s">
        <v>892</v>
      </c>
      <c r="G58" s="115" t="s">
        <v>908</v>
      </c>
      <c r="H58" s="115" t="s">
        <v>1795</v>
      </c>
    </row>
    <row r="59" spans="1:8" x14ac:dyDescent="0.35">
      <c r="A59" s="110" t="s">
        <v>91</v>
      </c>
      <c r="B59" s="111" t="s">
        <v>1739</v>
      </c>
      <c r="C59" s="117">
        <v>50.3</v>
      </c>
      <c r="D59" s="117">
        <v>48.9</v>
      </c>
      <c r="E59" s="117">
        <v>47</v>
      </c>
      <c r="F59" s="117">
        <v>48.2</v>
      </c>
      <c r="G59" s="117">
        <v>45.2</v>
      </c>
      <c r="H59" s="117">
        <v>42.5</v>
      </c>
    </row>
    <row r="60" spans="1:8" ht="15" thickBot="1" x14ac:dyDescent="0.4">
      <c r="A60" s="113" t="s">
        <v>92</v>
      </c>
      <c r="B60" s="114"/>
      <c r="C60" s="115" t="s">
        <v>1742</v>
      </c>
      <c r="D60" s="115" t="s">
        <v>1842</v>
      </c>
      <c r="E60" s="115" t="s">
        <v>998</v>
      </c>
      <c r="F60" s="115" t="s">
        <v>963</v>
      </c>
      <c r="G60" s="115" t="s">
        <v>1871</v>
      </c>
      <c r="H60" s="115" t="s">
        <v>889</v>
      </c>
    </row>
    <row r="61" spans="1:8" x14ac:dyDescent="0.35">
      <c r="A61" s="110" t="s">
        <v>93</v>
      </c>
      <c r="B61" s="111" t="s">
        <v>1741</v>
      </c>
      <c r="C61" s="117">
        <v>6.1</v>
      </c>
      <c r="D61" s="117">
        <v>6</v>
      </c>
      <c r="E61" s="117">
        <v>5.9</v>
      </c>
      <c r="F61" s="117">
        <v>5.6</v>
      </c>
      <c r="G61" s="117">
        <v>5.7</v>
      </c>
      <c r="H61" s="117">
        <v>5.8</v>
      </c>
    </row>
    <row r="62" spans="1:8" ht="15" thickBot="1" x14ac:dyDescent="0.4">
      <c r="A62" s="113" t="s">
        <v>92</v>
      </c>
      <c r="B62" s="114"/>
      <c r="C62" s="115" t="s">
        <v>1017</v>
      </c>
      <c r="D62" s="115" t="s">
        <v>94</v>
      </c>
      <c r="E62" s="115" t="s">
        <v>1678</v>
      </c>
      <c r="F62" s="115" t="s">
        <v>972</v>
      </c>
      <c r="G62" s="115" t="s">
        <v>1763</v>
      </c>
      <c r="H62" s="115" t="s">
        <v>1674</v>
      </c>
    </row>
    <row r="63" spans="1:8" x14ac:dyDescent="0.35">
      <c r="A63" s="110" t="s">
        <v>99</v>
      </c>
      <c r="B63" s="111" t="s">
        <v>1746</v>
      </c>
      <c r="C63" s="117">
        <v>60.4</v>
      </c>
      <c r="D63" s="117">
        <v>61.2</v>
      </c>
      <c r="E63" s="117">
        <v>61.8</v>
      </c>
      <c r="F63" s="117">
        <v>65.099999999999994</v>
      </c>
      <c r="G63" s="117">
        <v>64.099999999999994</v>
      </c>
      <c r="H63" s="117">
        <v>63.3</v>
      </c>
    </row>
    <row r="64" spans="1:8" ht="15" thickBot="1" x14ac:dyDescent="0.4">
      <c r="A64" s="113" t="s">
        <v>92</v>
      </c>
      <c r="B64" s="114"/>
      <c r="C64" s="115" t="s">
        <v>1745</v>
      </c>
      <c r="D64" s="115" t="s">
        <v>921</v>
      </c>
      <c r="E64" s="115" t="s">
        <v>1682</v>
      </c>
      <c r="F64" s="115" t="s">
        <v>1872</v>
      </c>
      <c r="G64" s="115" t="s">
        <v>857</v>
      </c>
      <c r="H64" s="115" t="s">
        <v>980</v>
      </c>
    </row>
    <row r="65" spans="1:8" x14ac:dyDescent="0.35">
      <c r="A65" s="110" t="s">
        <v>100</v>
      </c>
      <c r="B65" s="111" t="s">
        <v>1751</v>
      </c>
      <c r="C65" s="117">
        <v>60.7</v>
      </c>
      <c r="D65" s="117">
        <v>65.2</v>
      </c>
      <c r="E65" s="117">
        <v>59.8</v>
      </c>
      <c r="F65" s="117">
        <v>56.4</v>
      </c>
      <c r="G65" s="117">
        <v>53.5</v>
      </c>
      <c r="H65" s="117">
        <v>51.7</v>
      </c>
    </row>
    <row r="66" spans="1:8" ht="15" thickBot="1" x14ac:dyDescent="0.4">
      <c r="A66" s="113" t="s">
        <v>92</v>
      </c>
      <c r="B66" s="114"/>
      <c r="C66" s="115" t="s">
        <v>996</v>
      </c>
      <c r="D66" s="115" t="s">
        <v>865</v>
      </c>
      <c r="E66" s="115" t="s">
        <v>1670</v>
      </c>
      <c r="F66" s="115" t="s">
        <v>1742</v>
      </c>
      <c r="G66" s="115" t="s">
        <v>972</v>
      </c>
      <c r="H66" s="115" t="s">
        <v>852</v>
      </c>
    </row>
    <row r="67" spans="1:8" x14ac:dyDescent="0.35">
      <c r="A67" s="110" t="s">
        <v>958</v>
      </c>
      <c r="B67" s="111" t="s">
        <v>1753</v>
      </c>
      <c r="C67" s="116">
        <v>2.0099999999999998</v>
      </c>
      <c r="D67" s="116">
        <v>2.0299999999999998</v>
      </c>
      <c r="E67" s="116">
        <v>2.0099999999999998</v>
      </c>
      <c r="F67" s="116">
        <v>1.9</v>
      </c>
      <c r="G67" s="116">
        <v>2</v>
      </c>
      <c r="H67" s="116">
        <v>2.21</v>
      </c>
    </row>
    <row r="68" spans="1:8" ht="15" thickBot="1" x14ac:dyDescent="0.4">
      <c r="A68" s="113" t="s">
        <v>92</v>
      </c>
      <c r="B68" s="114"/>
      <c r="C68" s="115" t="s">
        <v>1795</v>
      </c>
      <c r="D68" s="115" t="s">
        <v>1682</v>
      </c>
      <c r="E68" s="115" t="s">
        <v>1678</v>
      </c>
      <c r="F68" s="115" t="s">
        <v>1742</v>
      </c>
      <c r="G68" s="115" t="s">
        <v>1018</v>
      </c>
      <c r="H68" s="115" t="s">
        <v>1873</v>
      </c>
    </row>
    <row r="69" spans="1:8" x14ac:dyDescent="0.35">
      <c r="A69" s="110" t="s">
        <v>964</v>
      </c>
      <c r="B69" s="118" t="s">
        <v>844</v>
      </c>
      <c r="C69" s="112">
        <v>-0.05</v>
      </c>
      <c r="D69" s="112">
        <v>1.7999999999999999E-2</v>
      </c>
      <c r="E69" s="112">
        <v>9.0999999999999998E-2</v>
      </c>
      <c r="F69" s="112">
        <v>7.1999999999999995E-2</v>
      </c>
      <c r="G69" s="112">
        <v>3.5000000000000003E-2</v>
      </c>
      <c r="H69" s="112">
        <v>-3.1E-2</v>
      </c>
    </row>
    <row r="70" spans="1:8" ht="15" thickBot="1" x14ac:dyDescent="0.4">
      <c r="A70" s="113" t="s">
        <v>92</v>
      </c>
      <c r="B70" s="114"/>
      <c r="C70" s="115" t="s">
        <v>871</v>
      </c>
      <c r="D70" s="115" t="s">
        <v>908</v>
      </c>
      <c r="E70" s="115" t="s">
        <v>865</v>
      </c>
      <c r="F70" s="115" t="s">
        <v>895</v>
      </c>
      <c r="G70" s="115" t="s">
        <v>858</v>
      </c>
      <c r="H70" s="115" t="s">
        <v>1047</v>
      </c>
    </row>
    <row r="71" spans="1:8" x14ac:dyDescent="0.35">
      <c r="A71" s="110" t="s">
        <v>969</v>
      </c>
      <c r="B71" s="111" t="s">
        <v>1756</v>
      </c>
      <c r="C71" s="112">
        <v>5.0000000000000001E-3</v>
      </c>
      <c r="D71" s="112">
        <v>5.0000000000000001E-3</v>
      </c>
      <c r="E71" s="112">
        <v>5.0000000000000001E-3</v>
      </c>
      <c r="F71" s="112">
        <v>4.0000000000000001E-3</v>
      </c>
      <c r="G71" s="112">
        <v>5.0000000000000001E-3</v>
      </c>
      <c r="H71" s="112">
        <v>5.0000000000000001E-3</v>
      </c>
    </row>
    <row r="72" spans="1:8" ht="15" thickBot="1" x14ac:dyDescent="0.4">
      <c r="A72" s="113" t="s">
        <v>92</v>
      </c>
      <c r="B72" s="114"/>
      <c r="C72" s="115" t="s">
        <v>849</v>
      </c>
      <c r="D72" s="115" t="s">
        <v>850</v>
      </c>
      <c r="E72" s="115" t="s">
        <v>850</v>
      </c>
      <c r="F72" s="115" t="s">
        <v>970</v>
      </c>
      <c r="G72" s="115" t="s">
        <v>849</v>
      </c>
      <c r="H72" s="115" t="s">
        <v>850</v>
      </c>
    </row>
    <row r="73" spans="1:8" x14ac:dyDescent="0.35">
      <c r="A73" s="110" t="s">
        <v>971</v>
      </c>
      <c r="B73" s="111" t="s">
        <v>945</v>
      </c>
      <c r="C73" s="112">
        <v>8.8999999999999996E-2</v>
      </c>
      <c r="D73" s="112">
        <v>8.8999999999999996E-2</v>
      </c>
      <c r="E73" s="112">
        <v>9.5000000000000001E-2</v>
      </c>
      <c r="F73" s="112">
        <v>8.7999999999999995E-2</v>
      </c>
      <c r="G73" s="112">
        <v>9.4E-2</v>
      </c>
      <c r="H73" s="112">
        <v>0.10199999999999999</v>
      </c>
    </row>
    <row r="74" spans="1:8" ht="15" thickBot="1" x14ac:dyDescent="0.4">
      <c r="A74" s="113" t="s">
        <v>92</v>
      </c>
      <c r="B74" s="114"/>
      <c r="C74" s="115" t="s">
        <v>1682</v>
      </c>
      <c r="D74" s="115" t="s">
        <v>850</v>
      </c>
      <c r="E74" s="115" t="s">
        <v>845</v>
      </c>
      <c r="F74" s="115" t="s">
        <v>838</v>
      </c>
      <c r="G74" s="115" t="s">
        <v>845</v>
      </c>
      <c r="H74" s="115" t="s">
        <v>863</v>
      </c>
    </row>
    <row r="75" spans="1:8" x14ac:dyDescent="0.35">
      <c r="A75" s="110" t="s">
        <v>973</v>
      </c>
      <c r="B75" s="111" t="s">
        <v>945</v>
      </c>
      <c r="C75" s="117" t="s">
        <v>1874</v>
      </c>
      <c r="D75" s="117" t="s">
        <v>1875</v>
      </c>
      <c r="E75" s="117" t="s">
        <v>1876</v>
      </c>
      <c r="F75" s="117" t="s">
        <v>1877</v>
      </c>
      <c r="G75" s="117" t="s">
        <v>1878</v>
      </c>
      <c r="H75" s="117" t="s">
        <v>1879</v>
      </c>
    </row>
    <row r="76" spans="1:8" ht="15" thickBot="1" x14ac:dyDescent="0.4">
      <c r="A76" s="113" t="s">
        <v>92</v>
      </c>
      <c r="B76" s="114"/>
      <c r="C76" s="115" t="s">
        <v>1872</v>
      </c>
      <c r="D76" s="115" t="s">
        <v>870</v>
      </c>
      <c r="E76" s="115" t="s">
        <v>849</v>
      </c>
      <c r="F76" s="115" t="s">
        <v>1076</v>
      </c>
      <c r="G76" s="115" t="s">
        <v>1785</v>
      </c>
      <c r="H76" s="115" t="s">
        <v>991</v>
      </c>
    </row>
  </sheetData>
  <sortState xmlns:xlrd2="http://schemas.microsoft.com/office/spreadsheetml/2017/richdata2" columnSort="1" ref="C3:H76">
    <sortCondition ref="C3:H3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1558-38B4-49E0-9012-B1A8BE683696}">
  <dimension ref="A1:G78"/>
  <sheetViews>
    <sheetView topLeftCell="A25" workbookViewId="0">
      <selection activeCell="D41" sqref="D41"/>
    </sheetView>
  </sheetViews>
  <sheetFormatPr defaultRowHeight="14.5" x14ac:dyDescent="0.35"/>
  <sheetData>
    <row r="1" spans="1:7" x14ac:dyDescent="0.35">
      <c r="A1" s="99" t="s">
        <v>1880</v>
      </c>
    </row>
    <row r="3" spans="1:7" x14ac:dyDescent="0.35">
      <c r="A3" s="100" t="s">
        <v>834</v>
      </c>
    </row>
    <row r="4" spans="1:7" ht="15" thickBot="1" x14ac:dyDescent="0.4">
      <c r="A4" s="100" t="s">
        <v>835</v>
      </c>
    </row>
    <row r="5" spans="1:7" ht="15" thickBot="1" x14ac:dyDescent="0.4">
      <c r="A5" s="101"/>
      <c r="B5" s="101" t="s">
        <v>253</v>
      </c>
      <c r="C5" s="102">
        <v>2018</v>
      </c>
      <c r="D5" s="102">
        <v>2019</v>
      </c>
      <c r="E5" s="102">
        <v>2020</v>
      </c>
      <c r="F5" s="102">
        <v>2021</v>
      </c>
      <c r="G5" s="102">
        <v>2022</v>
      </c>
    </row>
    <row r="6" spans="1:7" ht="15" thickBot="1" x14ac:dyDescent="0.4">
      <c r="A6" s="103" t="s">
        <v>312</v>
      </c>
      <c r="B6" s="104">
        <v>68</v>
      </c>
      <c r="C6" s="105">
        <v>100</v>
      </c>
      <c r="D6" s="105">
        <v>94</v>
      </c>
      <c r="E6" s="105">
        <v>98</v>
      </c>
      <c r="F6" s="121">
        <v>79</v>
      </c>
      <c r="G6" s="105">
        <v>92</v>
      </c>
    </row>
    <row r="7" spans="1:7" ht="15" thickBot="1" x14ac:dyDescent="0.4">
      <c r="A7" s="106" t="s">
        <v>1881</v>
      </c>
      <c r="B7" s="107">
        <v>23610</v>
      </c>
      <c r="C7" s="107">
        <v>3372.8456110000002</v>
      </c>
      <c r="D7" s="107">
        <v>3328.3058980000001</v>
      </c>
      <c r="E7" s="107">
        <v>3535.6321840000001</v>
      </c>
      <c r="F7" s="107">
        <v>3593.2998539999999</v>
      </c>
      <c r="G7" s="107">
        <v>3423.1282259999998</v>
      </c>
    </row>
    <row r="8" spans="1:7" ht="15" thickBot="1" x14ac:dyDescent="0.4">
      <c r="A8" s="108" t="s">
        <v>836</v>
      </c>
      <c r="B8" s="98"/>
      <c r="C8" s="109"/>
      <c r="D8" s="109"/>
      <c r="E8" s="109"/>
      <c r="F8" s="109"/>
      <c r="G8" s="109"/>
    </row>
    <row r="9" spans="1:7" x14ac:dyDescent="0.35">
      <c r="A9" s="110" t="s">
        <v>837</v>
      </c>
      <c r="B9" s="111">
        <v>0.33200000000000002</v>
      </c>
      <c r="C9" s="112">
        <v>0.67500000000000004</v>
      </c>
      <c r="D9" s="112">
        <v>0.7</v>
      </c>
      <c r="E9" s="112">
        <v>0.72499999999999998</v>
      </c>
      <c r="F9" s="112">
        <v>0.70299999999999996</v>
      </c>
      <c r="G9" s="112">
        <v>0.65500000000000003</v>
      </c>
    </row>
    <row r="10" spans="1:7" ht="15" thickBot="1" x14ac:dyDescent="0.4">
      <c r="A10" s="113" t="s">
        <v>92</v>
      </c>
      <c r="B10" s="114"/>
      <c r="C10" s="115" t="s">
        <v>968</v>
      </c>
      <c r="D10" s="115" t="s">
        <v>981</v>
      </c>
      <c r="E10" s="115" t="s">
        <v>981</v>
      </c>
      <c r="F10" s="115" t="s">
        <v>878</v>
      </c>
      <c r="G10" s="115" t="s">
        <v>880</v>
      </c>
    </row>
    <row r="11" spans="1:7" x14ac:dyDescent="0.35">
      <c r="A11" s="110" t="s">
        <v>842</v>
      </c>
      <c r="B11" s="111" t="s">
        <v>1882</v>
      </c>
      <c r="C11" s="112">
        <v>0.316</v>
      </c>
      <c r="D11" s="112">
        <v>0.41899999999999998</v>
      </c>
      <c r="E11" s="112">
        <v>0.441</v>
      </c>
      <c r="F11" s="112">
        <v>0.437</v>
      </c>
      <c r="G11" s="112">
        <v>0.33700000000000002</v>
      </c>
    </row>
    <row r="12" spans="1:7" ht="15" thickBot="1" x14ac:dyDescent="0.4">
      <c r="A12" s="113" t="s">
        <v>92</v>
      </c>
      <c r="B12" s="114"/>
      <c r="C12" s="115" t="s">
        <v>1001</v>
      </c>
      <c r="D12" s="115" t="s">
        <v>1837</v>
      </c>
      <c r="E12" s="115" t="s">
        <v>861</v>
      </c>
      <c r="F12" s="115" t="s">
        <v>844</v>
      </c>
      <c r="G12" s="115" t="s">
        <v>1724</v>
      </c>
    </row>
    <row r="13" spans="1:7" x14ac:dyDescent="0.35">
      <c r="A13" s="110" t="s">
        <v>274</v>
      </c>
      <c r="B13" s="111">
        <v>7.9000000000000001E-2</v>
      </c>
      <c r="C13" s="112">
        <v>0.312</v>
      </c>
      <c r="D13" s="112">
        <v>0.41899999999999998</v>
      </c>
      <c r="E13" s="112">
        <v>0.53500000000000003</v>
      </c>
      <c r="F13" s="112">
        <v>0.42699999999999999</v>
      </c>
      <c r="G13" s="112">
        <v>0.315</v>
      </c>
    </row>
    <row r="14" spans="1:7" ht="15" thickBot="1" x14ac:dyDescent="0.4">
      <c r="A14" s="113" t="s">
        <v>92</v>
      </c>
      <c r="B14" s="114"/>
      <c r="C14" s="115" t="s">
        <v>1688</v>
      </c>
      <c r="D14" s="115" t="s">
        <v>1713</v>
      </c>
      <c r="E14" s="115" t="s">
        <v>1883</v>
      </c>
      <c r="F14" s="115" t="s">
        <v>1736</v>
      </c>
      <c r="G14" s="115" t="s">
        <v>1743</v>
      </c>
    </row>
    <row r="15" spans="1:7" x14ac:dyDescent="0.35">
      <c r="A15" s="110" t="s">
        <v>853</v>
      </c>
      <c r="B15" s="111" t="s">
        <v>1865</v>
      </c>
      <c r="C15" s="112">
        <v>0.307</v>
      </c>
      <c r="D15" s="112">
        <v>0.41399999999999998</v>
      </c>
      <c r="E15" s="112">
        <v>0.53300000000000003</v>
      </c>
      <c r="F15" s="112">
        <v>0.42499999999999999</v>
      </c>
      <c r="G15" s="112">
        <v>0.313</v>
      </c>
    </row>
    <row r="16" spans="1:7" ht="15" thickBot="1" x14ac:dyDescent="0.4">
      <c r="A16" s="113" t="s">
        <v>92</v>
      </c>
      <c r="B16" s="114"/>
      <c r="C16" s="115" t="s">
        <v>963</v>
      </c>
      <c r="D16" s="115" t="s">
        <v>1713</v>
      </c>
      <c r="E16" s="115" t="s">
        <v>1059</v>
      </c>
      <c r="F16" s="115" t="s">
        <v>1736</v>
      </c>
      <c r="G16" s="115" t="s">
        <v>1743</v>
      </c>
    </row>
    <row r="17" spans="1:7" x14ac:dyDescent="0.35">
      <c r="A17" s="110" t="s">
        <v>859</v>
      </c>
      <c r="B17" s="111" t="s">
        <v>1884</v>
      </c>
      <c r="C17" s="112">
        <v>0.29699999999999999</v>
      </c>
      <c r="D17" s="112">
        <v>0.308</v>
      </c>
      <c r="E17" s="112">
        <v>0.249</v>
      </c>
      <c r="F17" s="112">
        <v>0.28499999999999998</v>
      </c>
      <c r="G17" s="112">
        <v>0.25700000000000001</v>
      </c>
    </row>
    <row r="18" spans="1:7" ht="15" thickBot="1" x14ac:dyDescent="0.4">
      <c r="A18" s="113" t="s">
        <v>92</v>
      </c>
      <c r="B18" s="114"/>
      <c r="C18" s="115" t="s">
        <v>850</v>
      </c>
      <c r="D18" s="115" t="s">
        <v>1737</v>
      </c>
      <c r="E18" s="115" t="s">
        <v>889</v>
      </c>
      <c r="F18" s="115" t="s">
        <v>1885</v>
      </c>
      <c r="G18" s="115" t="s">
        <v>1842</v>
      </c>
    </row>
    <row r="19" spans="1:7" x14ac:dyDescent="0.35">
      <c r="A19" s="110" t="s">
        <v>864</v>
      </c>
      <c r="B19" s="111" t="s">
        <v>996</v>
      </c>
      <c r="C19" s="112">
        <v>0.216</v>
      </c>
      <c r="D19" s="112">
        <v>0.28699999999999998</v>
      </c>
      <c r="E19" s="112">
        <v>0.4</v>
      </c>
      <c r="F19" s="112">
        <v>0.30399999999999999</v>
      </c>
      <c r="G19" s="112">
        <v>0.23200000000000001</v>
      </c>
    </row>
    <row r="20" spans="1:7" ht="15" thickBot="1" x14ac:dyDescent="0.4">
      <c r="A20" s="113" t="s">
        <v>92</v>
      </c>
      <c r="B20" s="114"/>
      <c r="C20" s="115" t="s">
        <v>1677</v>
      </c>
      <c r="D20" s="115" t="s">
        <v>1695</v>
      </c>
      <c r="E20" s="115" t="s">
        <v>1886</v>
      </c>
      <c r="F20" s="115" t="s">
        <v>953</v>
      </c>
      <c r="G20" s="115" t="s">
        <v>909</v>
      </c>
    </row>
    <row r="21" spans="1:7" ht="15" thickBot="1" x14ac:dyDescent="0.4">
      <c r="A21" s="108" t="s">
        <v>866</v>
      </c>
      <c r="B21" s="98"/>
      <c r="C21" s="109"/>
      <c r="D21" s="109"/>
      <c r="E21" s="109"/>
      <c r="F21" s="109"/>
      <c r="G21" s="109"/>
    </row>
    <row r="22" spans="1:7" x14ac:dyDescent="0.35">
      <c r="A22" s="110" t="s">
        <v>867</v>
      </c>
      <c r="B22" s="111" t="s">
        <v>1679</v>
      </c>
      <c r="C22" s="116">
        <v>1.1000000000000001</v>
      </c>
      <c r="D22" s="116">
        <v>0.79</v>
      </c>
      <c r="E22" s="116">
        <v>0.72</v>
      </c>
      <c r="F22" s="116">
        <v>0.76</v>
      </c>
      <c r="G22" s="116">
        <v>0.64</v>
      </c>
    </row>
    <row r="23" spans="1:7" ht="15" thickBot="1" x14ac:dyDescent="0.4">
      <c r="A23" s="113" t="s">
        <v>92</v>
      </c>
      <c r="B23" s="114"/>
      <c r="C23" s="115" t="s">
        <v>1701</v>
      </c>
      <c r="D23" s="115" t="s">
        <v>1887</v>
      </c>
      <c r="E23" s="115" t="s">
        <v>1888</v>
      </c>
      <c r="F23" s="115" t="s">
        <v>1675</v>
      </c>
      <c r="G23" s="115" t="s">
        <v>1889</v>
      </c>
    </row>
    <row r="24" spans="1:7" x14ac:dyDescent="0.35">
      <c r="A24" s="110" t="s">
        <v>873</v>
      </c>
      <c r="B24" s="111" t="s">
        <v>1865</v>
      </c>
      <c r="C24" s="112">
        <v>0.307</v>
      </c>
      <c r="D24" s="112">
        <v>0.41399999999999998</v>
      </c>
      <c r="E24" s="112">
        <v>0.53300000000000003</v>
      </c>
      <c r="F24" s="112">
        <v>0.42499999999999999</v>
      </c>
      <c r="G24" s="112">
        <v>0.313</v>
      </c>
    </row>
    <row r="25" spans="1:7" ht="15" thickBot="1" x14ac:dyDescent="0.4">
      <c r="A25" s="113" t="s">
        <v>92</v>
      </c>
      <c r="B25" s="114"/>
      <c r="C25" s="115" t="s">
        <v>963</v>
      </c>
      <c r="D25" s="115" t="s">
        <v>1713</v>
      </c>
      <c r="E25" s="115" t="s">
        <v>1059</v>
      </c>
      <c r="F25" s="115" t="s">
        <v>1736</v>
      </c>
      <c r="G25" s="115" t="s">
        <v>1743</v>
      </c>
    </row>
    <row r="26" spans="1:7" x14ac:dyDescent="0.35">
      <c r="A26" s="110" t="s">
        <v>874</v>
      </c>
      <c r="B26" s="111" t="s">
        <v>906</v>
      </c>
      <c r="C26" s="112">
        <v>0.33800000000000002</v>
      </c>
      <c r="D26" s="112">
        <v>0.32600000000000001</v>
      </c>
      <c r="E26" s="112">
        <v>0.38600000000000001</v>
      </c>
      <c r="F26" s="112">
        <v>0.32300000000000001</v>
      </c>
      <c r="G26" s="112">
        <v>0.19900000000000001</v>
      </c>
    </row>
    <row r="27" spans="1:7" ht="15" thickBot="1" x14ac:dyDescent="0.4">
      <c r="A27" s="113" t="s">
        <v>92</v>
      </c>
      <c r="B27" s="114"/>
      <c r="C27" s="115" t="s">
        <v>1025</v>
      </c>
      <c r="D27" s="115" t="s">
        <v>980</v>
      </c>
      <c r="E27" s="115" t="s">
        <v>1870</v>
      </c>
      <c r="F27" s="115" t="s">
        <v>1744</v>
      </c>
      <c r="G27" s="115" t="s">
        <v>1890</v>
      </c>
    </row>
    <row r="28" spans="1:7" x14ac:dyDescent="0.35">
      <c r="A28" s="110" t="s">
        <v>881</v>
      </c>
      <c r="B28" s="111" t="s">
        <v>1710</v>
      </c>
      <c r="C28" s="116">
        <v>2.0499999999999998</v>
      </c>
      <c r="D28" s="116">
        <v>1.77</v>
      </c>
      <c r="E28" s="116">
        <v>1.6</v>
      </c>
      <c r="F28" s="116">
        <v>1.5</v>
      </c>
      <c r="G28" s="116">
        <v>1.48</v>
      </c>
    </row>
    <row r="29" spans="1:7" ht="15" thickBot="1" x14ac:dyDescent="0.4">
      <c r="A29" s="113" t="s">
        <v>92</v>
      </c>
      <c r="B29" s="114"/>
      <c r="C29" s="115" t="s">
        <v>967</v>
      </c>
      <c r="D29" s="115" t="s">
        <v>1824</v>
      </c>
      <c r="E29" s="115" t="s">
        <v>953</v>
      </c>
      <c r="F29" s="115" t="s">
        <v>1742</v>
      </c>
      <c r="G29" s="115" t="s">
        <v>872</v>
      </c>
    </row>
    <row r="30" spans="1:7" x14ac:dyDescent="0.35">
      <c r="A30" s="110" t="s">
        <v>885</v>
      </c>
      <c r="B30" s="111" t="s">
        <v>1891</v>
      </c>
      <c r="C30" s="112">
        <v>0.68</v>
      </c>
      <c r="D30" s="112">
        <v>0.60399999999999998</v>
      </c>
      <c r="E30" s="112">
        <v>0.64300000000000002</v>
      </c>
      <c r="F30" s="112">
        <v>0.5</v>
      </c>
      <c r="G30" s="112">
        <v>0.29699999999999999</v>
      </c>
    </row>
    <row r="31" spans="1:7" ht="15" thickBot="1" x14ac:dyDescent="0.4">
      <c r="A31" s="113" t="s">
        <v>92</v>
      </c>
      <c r="B31" s="114"/>
      <c r="C31" s="115" t="s">
        <v>1748</v>
      </c>
      <c r="D31" s="115" t="s">
        <v>1892</v>
      </c>
      <c r="E31" s="115" t="s">
        <v>1013</v>
      </c>
      <c r="F31" s="115" t="s">
        <v>1893</v>
      </c>
      <c r="G31" s="115" t="s">
        <v>1894</v>
      </c>
    </row>
    <row r="32" spans="1:7" x14ac:dyDescent="0.35">
      <c r="A32" s="110" t="s">
        <v>890</v>
      </c>
      <c r="B32" s="111" t="s">
        <v>1895</v>
      </c>
      <c r="C32" s="116">
        <v>0.7</v>
      </c>
      <c r="D32" s="116">
        <v>0.69</v>
      </c>
      <c r="E32" s="116">
        <v>0.75</v>
      </c>
      <c r="F32" s="116">
        <v>0.71</v>
      </c>
      <c r="G32" s="116">
        <v>0.74</v>
      </c>
    </row>
    <row r="33" spans="1:7" ht="15" thickBot="1" x14ac:dyDescent="0.4">
      <c r="A33" s="113" t="s">
        <v>92</v>
      </c>
      <c r="B33" s="114"/>
      <c r="C33" s="115" t="s">
        <v>849</v>
      </c>
      <c r="D33" s="115" t="s">
        <v>857</v>
      </c>
      <c r="E33" s="115" t="s">
        <v>1896</v>
      </c>
      <c r="F33" s="115" t="s">
        <v>1032</v>
      </c>
      <c r="G33" s="115" t="s">
        <v>1703</v>
      </c>
    </row>
    <row r="34" spans="1:7" x14ac:dyDescent="0.35">
      <c r="A34" s="110" t="s">
        <v>306</v>
      </c>
      <c r="B34" s="111" t="s">
        <v>1897</v>
      </c>
      <c r="C34" s="112">
        <v>0.47799999999999998</v>
      </c>
      <c r="D34" s="112">
        <v>0.41799999999999998</v>
      </c>
      <c r="E34" s="112">
        <v>0.48299999999999998</v>
      </c>
      <c r="F34" s="112">
        <v>0.35499999999999998</v>
      </c>
      <c r="G34" s="112">
        <v>0.22</v>
      </c>
    </row>
    <row r="35" spans="1:7" ht="15" thickBot="1" x14ac:dyDescent="0.4">
      <c r="A35" s="113" t="s">
        <v>92</v>
      </c>
      <c r="B35" s="114"/>
      <c r="C35" s="115" t="s">
        <v>1865</v>
      </c>
      <c r="D35" s="115" t="s">
        <v>870</v>
      </c>
      <c r="E35" s="115" t="s">
        <v>1031</v>
      </c>
      <c r="F35" s="115" t="s">
        <v>1898</v>
      </c>
      <c r="G35" s="115" t="s">
        <v>1810</v>
      </c>
    </row>
    <row r="36" spans="1:7" x14ac:dyDescent="0.35">
      <c r="A36" s="110" t="s">
        <v>898</v>
      </c>
      <c r="B36" s="111" t="s">
        <v>1895</v>
      </c>
      <c r="C36" s="116">
        <v>1</v>
      </c>
      <c r="D36" s="116">
        <v>0.56000000000000005</v>
      </c>
      <c r="E36" s="116">
        <v>0.84</v>
      </c>
      <c r="F36" s="116">
        <v>0.68</v>
      </c>
      <c r="G36" s="116">
        <v>0.72</v>
      </c>
    </row>
    <row r="37" spans="1:7" ht="15" thickBot="1" x14ac:dyDescent="0.4">
      <c r="A37" s="113" t="s">
        <v>92</v>
      </c>
      <c r="B37" s="114"/>
      <c r="C37" s="115" t="s">
        <v>850</v>
      </c>
      <c r="D37" s="115" t="s">
        <v>1899</v>
      </c>
      <c r="E37" s="115" t="s">
        <v>1900</v>
      </c>
      <c r="F37" s="115" t="s">
        <v>1901</v>
      </c>
      <c r="G37" s="115" t="s">
        <v>1031</v>
      </c>
    </row>
    <row r="38" spans="1:7" x14ac:dyDescent="0.35">
      <c r="A38" s="110" t="s">
        <v>905</v>
      </c>
      <c r="B38" s="111" t="s">
        <v>1701</v>
      </c>
      <c r="C38" s="112">
        <v>0.47799999999999998</v>
      </c>
      <c r="D38" s="112">
        <v>0.23400000000000001</v>
      </c>
      <c r="E38" s="112">
        <v>0.40600000000000003</v>
      </c>
      <c r="F38" s="112">
        <v>0.24099999999999999</v>
      </c>
      <c r="G38" s="112">
        <v>0.159</v>
      </c>
    </row>
    <row r="39" spans="1:7" ht="15" thickBot="1" x14ac:dyDescent="0.4">
      <c r="A39" s="113" t="s">
        <v>92</v>
      </c>
      <c r="B39" s="114"/>
      <c r="C39" s="115" t="s">
        <v>1865</v>
      </c>
      <c r="D39" s="115" t="s">
        <v>1855</v>
      </c>
      <c r="E39" s="115" t="s">
        <v>1902</v>
      </c>
      <c r="F39" s="115" t="s">
        <v>1889</v>
      </c>
      <c r="G39" s="115" t="s">
        <v>98</v>
      </c>
    </row>
    <row r="40" spans="1:7" ht="15" thickBot="1" x14ac:dyDescent="0.4">
      <c r="A40" s="108" t="s">
        <v>911</v>
      </c>
      <c r="B40" s="98"/>
      <c r="C40" s="109"/>
      <c r="D40" s="109"/>
      <c r="E40" s="109"/>
      <c r="F40" s="109"/>
      <c r="G40" s="109"/>
    </row>
    <row r="41" spans="1:7" x14ac:dyDescent="0.35">
      <c r="A41" s="110" t="s">
        <v>912</v>
      </c>
      <c r="B41" s="111" t="s">
        <v>1903</v>
      </c>
      <c r="C41" s="116">
        <v>1.37</v>
      </c>
      <c r="D41" s="116">
        <v>2.23</v>
      </c>
      <c r="E41" s="116">
        <v>2.4300000000000002</v>
      </c>
      <c r="F41" s="116">
        <v>2.63</v>
      </c>
      <c r="G41" s="116">
        <v>2.71</v>
      </c>
    </row>
    <row r="42" spans="1:7" ht="15" thickBot="1" x14ac:dyDescent="0.4">
      <c r="A42" s="113" t="s">
        <v>92</v>
      </c>
      <c r="B42" s="114"/>
      <c r="C42" s="115" t="s">
        <v>967</v>
      </c>
      <c r="D42" s="115" t="s">
        <v>1904</v>
      </c>
      <c r="E42" s="115" t="s">
        <v>1905</v>
      </c>
      <c r="F42" s="115" t="s">
        <v>1906</v>
      </c>
      <c r="G42" s="115" t="s">
        <v>1069</v>
      </c>
    </row>
    <row r="43" spans="1:7" x14ac:dyDescent="0.35">
      <c r="A43" s="110" t="s">
        <v>916</v>
      </c>
      <c r="B43" s="111" t="s">
        <v>1907</v>
      </c>
      <c r="C43" s="116">
        <v>1.5</v>
      </c>
      <c r="D43" s="116">
        <v>2.3199999999999998</v>
      </c>
      <c r="E43" s="116">
        <v>2.61</v>
      </c>
      <c r="F43" s="116">
        <v>2.88</v>
      </c>
      <c r="G43" s="116">
        <v>2.98</v>
      </c>
    </row>
    <row r="44" spans="1:7" ht="15" thickBot="1" x14ac:dyDescent="0.4">
      <c r="A44" s="113" t="s">
        <v>92</v>
      </c>
      <c r="B44" s="114"/>
      <c r="C44" s="115" t="s">
        <v>1684</v>
      </c>
      <c r="D44" s="115" t="s">
        <v>1908</v>
      </c>
      <c r="E44" s="115" t="s">
        <v>1909</v>
      </c>
      <c r="F44" s="115" t="s">
        <v>1689</v>
      </c>
      <c r="G44" s="115" t="s">
        <v>1885</v>
      </c>
    </row>
    <row r="45" spans="1:7" x14ac:dyDescent="0.35">
      <c r="A45" s="110" t="s">
        <v>922</v>
      </c>
      <c r="B45" s="111" t="s">
        <v>1910</v>
      </c>
      <c r="C45" s="117">
        <v>53.2</v>
      </c>
      <c r="D45" s="117">
        <v>76.599999999999994</v>
      </c>
      <c r="E45" s="117">
        <v>158.4</v>
      </c>
      <c r="F45" s="117">
        <v>326.89999999999998</v>
      </c>
      <c r="G45" s="117">
        <v>199.5</v>
      </c>
    </row>
    <row r="46" spans="1:7" ht="15" thickBot="1" x14ac:dyDescent="0.4">
      <c r="A46" s="113" t="s">
        <v>92</v>
      </c>
      <c r="B46" s="114"/>
      <c r="C46" s="115" t="s">
        <v>1887</v>
      </c>
      <c r="D46" s="115" t="s">
        <v>1911</v>
      </c>
      <c r="E46" s="115" t="s">
        <v>902</v>
      </c>
      <c r="F46" s="115" t="s">
        <v>902</v>
      </c>
      <c r="G46" s="115" t="s">
        <v>1912</v>
      </c>
    </row>
    <row r="47" spans="1:7" x14ac:dyDescent="0.35">
      <c r="A47" s="110" t="s">
        <v>929</v>
      </c>
      <c r="B47" s="111" t="s">
        <v>1913</v>
      </c>
      <c r="C47" s="117">
        <v>-0.2</v>
      </c>
      <c r="D47" s="117">
        <v>-6.4</v>
      </c>
      <c r="E47" s="117">
        <v>4.5999999999999996</v>
      </c>
      <c r="F47" s="117">
        <v>26.9</v>
      </c>
      <c r="G47" s="117">
        <v>30.1</v>
      </c>
    </row>
    <row r="48" spans="1:7" ht="15" thickBot="1" x14ac:dyDescent="0.4">
      <c r="A48" s="113" t="s">
        <v>92</v>
      </c>
      <c r="B48" s="114"/>
      <c r="C48" s="115" t="s">
        <v>904</v>
      </c>
      <c r="D48" s="115" t="s">
        <v>904</v>
      </c>
      <c r="E48" s="115" t="s">
        <v>902</v>
      </c>
      <c r="F48" s="115" t="s">
        <v>902</v>
      </c>
      <c r="G48" s="115" t="s">
        <v>1059</v>
      </c>
    </row>
    <row r="49" spans="1:7" ht="15" thickBot="1" x14ac:dyDescent="0.4">
      <c r="A49" s="108" t="s">
        <v>305</v>
      </c>
      <c r="B49" s="98"/>
      <c r="C49" s="109"/>
      <c r="D49" s="109"/>
      <c r="E49" s="109"/>
      <c r="F49" s="109"/>
      <c r="G49" s="109"/>
    </row>
    <row r="50" spans="1:7" x14ac:dyDescent="0.35">
      <c r="A50" s="110" t="s">
        <v>934</v>
      </c>
      <c r="B50" s="111" t="s">
        <v>1710</v>
      </c>
      <c r="C50" s="116">
        <v>2.0499999999999998</v>
      </c>
      <c r="D50" s="116">
        <v>1.77</v>
      </c>
      <c r="E50" s="116">
        <v>1.6</v>
      </c>
      <c r="F50" s="116">
        <v>1.5</v>
      </c>
      <c r="G50" s="116">
        <v>1.48</v>
      </c>
    </row>
    <row r="51" spans="1:7" ht="15" thickBot="1" x14ac:dyDescent="0.4">
      <c r="A51" s="113" t="s">
        <v>92</v>
      </c>
      <c r="B51" s="114"/>
      <c r="C51" s="115" t="s">
        <v>967</v>
      </c>
      <c r="D51" s="115" t="s">
        <v>1824</v>
      </c>
      <c r="E51" s="115" t="s">
        <v>953</v>
      </c>
      <c r="F51" s="115" t="s">
        <v>1742</v>
      </c>
      <c r="G51" s="115" t="s">
        <v>872</v>
      </c>
    </row>
    <row r="52" spans="1:7" x14ac:dyDescent="0.35">
      <c r="A52" s="110" t="s">
        <v>935</v>
      </c>
      <c r="B52" s="111" t="s">
        <v>1729</v>
      </c>
      <c r="C52" s="116">
        <v>0.33</v>
      </c>
      <c r="D52" s="116">
        <v>0.38</v>
      </c>
      <c r="E52" s="116">
        <v>0.08</v>
      </c>
      <c r="F52" s="116">
        <v>0.05</v>
      </c>
      <c r="G52" s="116">
        <v>0.06</v>
      </c>
    </row>
    <row r="53" spans="1:7" ht="15" thickBot="1" x14ac:dyDescent="0.4">
      <c r="A53" s="113" t="s">
        <v>92</v>
      </c>
      <c r="B53" s="114"/>
      <c r="C53" s="115" t="s">
        <v>1914</v>
      </c>
      <c r="D53" s="115" t="s">
        <v>1721</v>
      </c>
      <c r="E53" s="115" t="s">
        <v>1915</v>
      </c>
      <c r="F53" s="115" t="s">
        <v>1916</v>
      </c>
      <c r="G53" s="115" t="s">
        <v>1917</v>
      </c>
    </row>
    <row r="54" spans="1:7" x14ac:dyDescent="0.35">
      <c r="A54" s="110" t="s">
        <v>940</v>
      </c>
      <c r="B54" s="111" t="s">
        <v>1053</v>
      </c>
      <c r="C54" s="112">
        <v>0.10299999999999999</v>
      </c>
      <c r="D54" s="112">
        <v>0.10199999999999999</v>
      </c>
      <c r="E54" s="112">
        <v>4.2000000000000003E-2</v>
      </c>
      <c r="F54" s="112">
        <v>3.1E-2</v>
      </c>
      <c r="G54" s="112">
        <v>3.6999999999999998E-2</v>
      </c>
    </row>
    <row r="55" spans="1:7" ht="15" thickBot="1" x14ac:dyDescent="0.4">
      <c r="A55" s="113" t="s">
        <v>92</v>
      </c>
      <c r="B55" s="114"/>
      <c r="C55" s="115" t="s">
        <v>1865</v>
      </c>
      <c r="D55" s="115" t="s">
        <v>970</v>
      </c>
      <c r="E55" s="115" t="s">
        <v>870</v>
      </c>
      <c r="F55" s="115" t="s">
        <v>855</v>
      </c>
      <c r="G55" s="115" t="s">
        <v>845</v>
      </c>
    </row>
    <row r="56" spans="1:7" x14ac:dyDescent="0.35">
      <c r="A56" s="110" t="s">
        <v>943</v>
      </c>
      <c r="B56" s="118" t="s">
        <v>1918</v>
      </c>
      <c r="C56" s="116" t="s">
        <v>202</v>
      </c>
      <c r="D56" s="116" t="s">
        <v>202</v>
      </c>
      <c r="E56" s="116" t="s">
        <v>202</v>
      </c>
      <c r="F56" s="116" t="s">
        <v>202</v>
      </c>
      <c r="G56" s="116" t="s">
        <v>202</v>
      </c>
    </row>
    <row r="57" spans="1:7" ht="15" thickBot="1" x14ac:dyDescent="0.4">
      <c r="A57" s="113" t="s">
        <v>92</v>
      </c>
      <c r="B57" s="114"/>
      <c r="C57" s="115" t="s">
        <v>945</v>
      </c>
      <c r="D57" s="115" t="s">
        <v>945</v>
      </c>
      <c r="E57" s="115" t="s">
        <v>945</v>
      </c>
      <c r="F57" s="115" t="s">
        <v>945</v>
      </c>
      <c r="G57" s="115" t="s">
        <v>945</v>
      </c>
    </row>
    <row r="58" spans="1:7" ht="15" thickBot="1" x14ac:dyDescent="0.4">
      <c r="A58" s="108" t="s">
        <v>946</v>
      </c>
      <c r="B58" s="98"/>
      <c r="C58" s="109"/>
      <c r="D58" s="109"/>
      <c r="E58" s="109"/>
      <c r="F58" s="109"/>
      <c r="G58" s="109"/>
    </row>
    <row r="59" spans="1:7" x14ac:dyDescent="0.35">
      <c r="A59" s="110" t="s">
        <v>947</v>
      </c>
      <c r="B59" s="111" t="s">
        <v>1919</v>
      </c>
      <c r="C59" s="117">
        <v>23.3</v>
      </c>
      <c r="D59" s="117">
        <v>21.4</v>
      </c>
      <c r="E59" s="117">
        <v>30.8</v>
      </c>
      <c r="F59" s="117">
        <v>33.299999999999997</v>
      </c>
      <c r="G59" s="117">
        <v>26.6</v>
      </c>
    </row>
    <row r="60" spans="1:7" ht="15" thickBot="1" x14ac:dyDescent="0.4">
      <c r="A60" s="113" t="s">
        <v>92</v>
      </c>
      <c r="B60" s="114"/>
      <c r="C60" s="115" t="s">
        <v>1920</v>
      </c>
      <c r="D60" s="115" t="s">
        <v>1888</v>
      </c>
      <c r="E60" s="115" t="s">
        <v>1921</v>
      </c>
      <c r="F60" s="115" t="s">
        <v>1906</v>
      </c>
      <c r="G60" s="115" t="s">
        <v>1732</v>
      </c>
    </row>
    <row r="61" spans="1:7" x14ac:dyDescent="0.35">
      <c r="A61" s="110" t="s">
        <v>91</v>
      </c>
      <c r="B61" s="111" t="s">
        <v>1922</v>
      </c>
      <c r="C61" s="117">
        <v>15.7</v>
      </c>
      <c r="D61" s="117">
        <v>17.100000000000001</v>
      </c>
      <c r="E61" s="117">
        <v>11.9</v>
      </c>
      <c r="F61" s="117">
        <v>11</v>
      </c>
      <c r="G61" s="117">
        <v>13.8</v>
      </c>
    </row>
    <row r="62" spans="1:7" ht="15" thickBot="1" x14ac:dyDescent="0.4">
      <c r="A62" s="113" t="s">
        <v>92</v>
      </c>
      <c r="B62" s="114"/>
      <c r="C62" s="115" t="s">
        <v>1923</v>
      </c>
      <c r="D62" s="115" t="s">
        <v>1924</v>
      </c>
      <c r="E62" s="115" t="s">
        <v>1816</v>
      </c>
      <c r="F62" s="115" t="s">
        <v>1892</v>
      </c>
      <c r="G62" s="115" t="s">
        <v>1925</v>
      </c>
    </row>
    <row r="63" spans="1:7" x14ac:dyDescent="0.35">
      <c r="A63" s="110" t="s">
        <v>93</v>
      </c>
      <c r="B63" s="111" t="s">
        <v>1926</v>
      </c>
      <c r="C63" s="117">
        <v>6.4</v>
      </c>
      <c r="D63" s="117">
        <v>6.1</v>
      </c>
      <c r="E63" s="117">
        <v>5.2</v>
      </c>
      <c r="F63" s="117">
        <v>4.5</v>
      </c>
      <c r="G63" s="117">
        <v>4</v>
      </c>
    </row>
    <row r="64" spans="1:7" ht="15" thickBot="1" x14ac:dyDescent="0.4">
      <c r="A64" s="113" t="s">
        <v>92</v>
      </c>
      <c r="B64" s="114"/>
      <c r="C64" s="115" t="s">
        <v>996</v>
      </c>
      <c r="D64" s="115" t="s">
        <v>1785</v>
      </c>
      <c r="E64" s="115" t="s">
        <v>1071</v>
      </c>
      <c r="F64" s="115" t="s">
        <v>1927</v>
      </c>
      <c r="G64" s="115" t="s">
        <v>1005</v>
      </c>
    </row>
    <row r="65" spans="1:7" x14ac:dyDescent="0.35">
      <c r="A65" s="110" t="s">
        <v>99</v>
      </c>
      <c r="B65" s="111" t="s">
        <v>1928</v>
      </c>
      <c r="C65" s="117">
        <v>57.2</v>
      </c>
      <c r="D65" s="117">
        <v>59.9</v>
      </c>
      <c r="E65" s="117">
        <v>70.5</v>
      </c>
      <c r="F65" s="117">
        <v>81.3</v>
      </c>
      <c r="G65" s="117">
        <v>92.4</v>
      </c>
    </row>
    <row r="66" spans="1:7" ht="15" thickBot="1" x14ac:dyDescent="0.4">
      <c r="A66" s="113" t="s">
        <v>92</v>
      </c>
      <c r="B66" s="114"/>
      <c r="C66" s="115" t="s">
        <v>876</v>
      </c>
      <c r="D66" s="115" t="s">
        <v>967</v>
      </c>
      <c r="E66" s="115" t="s">
        <v>1929</v>
      </c>
      <c r="F66" s="115" t="s">
        <v>843</v>
      </c>
      <c r="G66" s="115" t="s">
        <v>1930</v>
      </c>
    </row>
    <row r="67" spans="1:7" x14ac:dyDescent="0.35">
      <c r="A67" s="110" t="s">
        <v>100</v>
      </c>
      <c r="B67" s="111" t="s">
        <v>1931</v>
      </c>
      <c r="C67" s="117">
        <v>73.099999999999994</v>
      </c>
      <c r="D67" s="117">
        <v>83.4</v>
      </c>
      <c r="E67" s="117">
        <v>77.8</v>
      </c>
      <c r="F67" s="117">
        <v>65.3</v>
      </c>
      <c r="G67" s="117">
        <v>76</v>
      </c>
    </row>
    <row r="68" spans="1:7" ht="15" thickBot="1" x14ac:dyDescent="0.4">
      <c r="A68" s="113" t="s">
        <v>92</v>
      </c>
      <c r="B68" s="114"/>
      <c r="C68" s="115" t="s">
        <v>1932</v>
      </c>
      <c r="D68" s="115" t="s">
        <v>1933</v>
      </c>
      <c r="E68" s="115" t="s">
        <v>95</v>
      </c>
      <c r="F68" s="115" t="s">
        <v>1934</v>
      </c>
      <c r="G68" s="115" t="s">
        <v>1935</v>
      </c>
    </row>
    <row r="69" spans="1:7" x14ac:dyDescent="0.35">
      <c r="A69" s="110" t="s">
        <v>958</v>
      </c>
      <c r="B69" s="111" t="s">
        <v>1936</v>
      </c>
      <c r="C69" s="116">
        <v>4.47</v>
      </c>
      <c r="D69" s="116">
        <v>3.65</v>
      </c>
      <c r="E69" s="116">
        <v>2.73</v>
      </c>
      <c r="F69" s="116">
        <v>2.2999999999999998</v>
      </c>
      <c r="G69" s="116">
        <v>1.86</v>
      </c>
    </row>
    <row r="70" spans="1:7" ht="15" thickBot="1" x14ac:dyDescent="0.4">
      <c r="A70" s="113" t="s">
        <v>92</v>
      </c>
      <c r="B70" s="114"/>
      <c r="C70" s="115" t="s">
        <v>906</v>
      </c>
      <c r="D70" s="115" t="s">
        <v>1048</v>
      </c>
      <c r="E70" s="115" t="s">
        <v>1937</v>
      </c>
      <c r="F70" s="115" t="s">
        <v>1938</v>
      </c>
      <c r="G70" s="115" t="s">
        <v>1901</v>
      </c>
    </row>
    <row r="71" spans="1:7" x14ac:dyDescent="0.35">
      <c r="A71" s="110" t="s">
        <v>964</v>
      </c>
      <c r="B71" s="118" t="s">
        <v>965</v>
      </c>
      <c r="C71" s="112">
        <v>-1.4999999999999999E-2</v>
      </c>
      <c r="D71" s="112">
        <v>0.26600000000000001</v>
      </c>
      <c r="E71" s="112">
        <v>0.125</v>
      </c>
      <c r="F71" s="112">
        <v>-3.5000000000000003E-2</v>
      </c>
      <c r="G71" s="112">
        <v>0.115</v>
      </c>
    </row>
    <row r="72" spans="1:7" ht="15" thickBot="1" x14ac:dyDescent="0.4">
      <c r="A72" s="113" t="s">
        <v>92</v>
      </c>
      <c r="B72" s="114"/>
      <c r="C72" s="115" t="s">
        <v>1841</v>
      </c>
      <c r="D72" s="115" t="s">
        <v>1939</v>
      </c>
      <c r="E72" s="115" t="s">
        <v>1940</v>
      </c>
      <c r="F72" s="115" t="s">
        <v>1052</v>
      </c>
      <c r="G72" s="115" t="s">
        <v>1941</v>
      </c>
    </row>
    <row r="73" spans="1:7" x14ac:dyDescent="0.35">
      <c r="A73" s="110" t="s">
        <v>969</v>
      </c>
      <c r="B73" s="111" t="s">
        <v>1682</v>
      </c>
      <c r="C73" s="112">
        <v>1.2999999999999999E-2</v>
      </c>
      <c r="D73" s="112">
        <v>1.6E-2</v>
      </c>
      <c r="E73" s="112">
        <v>3.5000000000000003E-2</v>
      </c>
      <c r="F73" s="112">
        <v>3.0000000000000001E-3</v>
      </c>
      <c r="G73" s="112">
        <v>8.9999999999999993E-3</v>
      </c>
    </row>
    <row r="74" spans="1:7" ht="15" thickBot="1" x14ac:dyDescent="0.4">
      <c r="A74" s="113" t="s">
        <v>92</v>
      </c>
      <c r="B74" s="114"/>
      <c r="C74" s="115" t="s">
        <v>895</v>
      </c>
      <c r="D74" s="115" t="s">
        <v>1029</v>
      </c>
      <c r="E74" s="115" t="s">
        <v>1677</v>
      </c>
      <c r="F74" s="115" t="s">
        <v>841</v>
      </c>
      <c r="G74" s="115" t="s">
        <v>845</v>
      </c>
    </row>
    <row r="75" spans="1:7" x14ac:dyDescent="0.35">
      <c r="A75" s="110" t="s">
        <v>971</v>
      </c>
      <c r="B75" s="111" t="s">
        <v>945</v>
      </c>
      <c r="C75" s="112">
        <v>0.41099999999999998</v>
      </c>
      <c r="D75" s="112">
        <v>0.34899999999999998</v>
      </c>
      <c r="E75" s="112">
        <v>0.42099999999999999</v>
      </c>
      <c r="F75" s="112">
        <v>0.32300000000000001</v>
      </c>
      <c r="G75" s="112">
        <v>0.19900000000000001</v>
      </c>
    </row>
    <row r="76" spans="1:7" ht="15" thickBot="1" x14ac:dyDescent="0.4">
      <c r="A76" s="113" t="s">
        <v>92</v>
      </c>
      <c r="B76" s="114"/>
      <c r="C76" s="115" t="s">
        <v>1018</v>
      </c>
      <c r="D76" s="115" t="s">
        <v>1727</v>
      </c>
      <c r="E76" s="115" t="s">
        <v>1827</v>
      </c>
      <c r="F76" s="115" t="s">
        <v>1942</v>
      </c>
      <c r="G76" s="115" t="s">
        <v>1890</v>
      </c>
    </row>
    <row r="77" spans="1:7" x14ac:dyDescent="0.35">
      <c r="A77" s="110" t="s">
        <v>973</v>
      </c>
      <c r="B77" s="111" t="s">
        <v>945</v>
      </c>
      <c r="C77" s="117" t="s">
        <v>202</v>
      </c>
      <c r="D77" s="117" t="s">
        <v>202</v>
      </c>
      <c r="E77" s="117" t="s">
        <v>1943</v>
      </c>
      <c r="F77" s="117" t="s">
        <v>1944</v>
      </c>
      <c r="G77" s="117" t="s">
        <v>1945</v>
      </c>
    </row>
    <row r="78" spans="1:7" ht="15" thickBot="1" x14ac:dyDescent="0.4">
      <c r="A78" s="113" t="s">
        <v>92</v>
      </c>
      <c r="B78" s="114"/>
      <c r="C78" s="115" t="s">
        <v>945</v>
      </c>
      <c r="D78" s="115" t="s">
        <v>945</v>
      </c>
      <c r="E78" s="115" t="s">
        <v>1841</v>
      </c>
      <c r="F78" s="115" t="s">
        <v>844</v>
      </c>
      <c r="G78" s="115" t="s">
        <v>1946</v>
      </c>
    </row>
  </sheetData>
  <sortState xmlns:xlrd2="http://schemas.microsoft.com/office/spreadsheetml/2017/richdata2" columnSort="1" ref="C5:G78">
    <sortCondition ref="C5:G5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1AFD-1EB3-4B9A-B774-F952E8628217}">
  <dimension ref="A1:G76"/>
  <sheetViews>
    <sheetView workbookViewId="0">
      <selection activeCell="D39" sqref="D39"/>
    </sheetView>
  </sheetViews>
  <sheetFormatPr defaultRowHeight="14.5" x14ac:dyDescent="0.35"/>
  <sheetData>
    <row r="1" spans="1:7" x14ac:dyDescent="0.35">
      <c r="A1" s="100" t="s">
        <v>834</v>
      </c>
    </row>
    <row r="2" spans="1:7" ht="15" thickBot="1" x14ac:dyDescent="0.4">
      <c r="A2" s="100" t="s">
        <v>835</v>
      </c>
    </row>
    <row r="3" spans="1:7" ht="15" thickBot="1" x14ac:dyDescent="0.4">
      <c r="A3" s="101"/>
      <c r="B3" s="101" t="s">
        <v>253</v>
      </c>
      <c r="C3" s="102">
        <v>2018</v>
      </c>
      <c r="D3" s="102">
        <v>2019</v>
      </c>
      <c r="E3" s="102">
        <v>2020</v>
      </c>
      <c r="F3" s="102">
        <v>2021</v>
      </c>
      <c r="G3" s="102">
        <v>2022</v>
      </c>
    </row>
    <row r="4" spans="1:7" ht="15" thickBot="1" x14ac:dyDescent="0.4">
      <c r="A4" s="103" t="s">
        <v>312</v>
      </c>
      <c r="B4" s="104">
        <v>52</v>
      </c>
      <c r="C4" s="119">
        <v>13</v>
      </c>
      <c r="D4" s="104">
        <v>66</v>
      </c>
      <c r="E4" s="104">
        <v>57</v>
      </c>
      <c r="F4" s="120">
        <v>9</v>
      </c>
      <c r="G4" s="119">
        <v>16</v>
      </c>
    </row>
    <row r="5" spans="1:7" ht="15" thickBot="1" x14ac:dyDescent="0.4">
      <c r="A5" s="106" t="s">
        <v>1881</v>
      </c>
      <c r="B5" s="107">
        <v>23610</v>
      </c>
      <c r="C5" s="107">
        <v>3372.8456110000002</v>
      </c>
      <c r="D5" s="107">
        <v>3328.3058980000001</v>
      </c>
      <c r="E5" s="107">
        <v>3535.6321840000001</v>
      </c>
      <c r="F5" s="107">
        <v>3593.2998539999999</v>
      </c>
      <c r="G5" s="107">
        <v>3423.1282259999998</v>
      </c>
    </row>
    <row r="6" spans="1:7" ht="15" thickBot="1" x14ac:dyDescent="0.4">
      <c r="A6" s="108" t="s">
        <v>836</v>
      </c>
      <c r="B6" s="98"/>
      <c r="C6" s="109"/>
      <c r="D6" s="109"/>
      <c r="E6" s="109"/>
      <c r="F6" s="109"/>
      <c r="G6" s="109"/>
    </row>
    <row r="7" spans="1:7" x14ac:dyDescent="0.35">
      <c r="A7" s="110" t="s">
        <v>837</v>
      </c>
      <c r="B7" s="111">
        <v>0.29299999999999998</v>
      </c>
      <c r="C7" s="112">
        <v>0.33100000000000002</v>
      </c>
      <c r="D7" s="112">
        <v>0.311</v>
      </c>
      <c r="E7" s="112">
        <v>0.219</v>
      </c>
      <c r="F7" s="112">
        <v>0.18</v>
      </c>
      <c r="G7" s="112">
        <v>0.182</v>
      </c>
    </row>
    <row r="8" spans="1:7" ht="15" thickBot="1" x14ac:dyDescent="0.4">
      <c r="A8" s="113" t="s">
        <v>92</v>
      </c>
      <c r="B8" s="114"/>
      <c r="C8" s="115" t="s">
        <v>970</v>
      </c>
      <c r="D8" s="115" t="s">
        <v>888</v>
      </c>
      <c r="E8" s="115" t="s">
        <v>1790</v>
      </c>
      <c r="F8" s="115" t="s">
        <v>1947</v>
      </c>
      <c r="G8" s="115" t="s">
        <v>1756</v>
      </c>
    </row>
    <row r="9" spans="1:7" x14ac:dyDescent="0.35">
      <c r="A9" s="110" t="s">
        <v>842</v>
      </c>
      <c r="B9" s="111" t="s">
        <v>843</v>
      </c>
      <c r="C9" s="112">
        <v>9.5000000000000001E-2</v>
      </c>
      <c r="D9" s="112">
        <v>9.6000000000000002E-2</v>
      </c>
      <c r="E9" s="112">
        <v>8.5000000000000006E-2</v>
      </c>
      <c r="F9" s="112">
        <v>6.4000000000000001E-2</v>
      </c>
      <c r="G9" s="112">
        <v>7.1999999999999995E-2</v>
      </c>
    </row>
    <row r="10" spans="1:7" ht="15" thickBot="1" x14ac:dyDescent="0.4">
      <c r="A10" s="113" t="s">
        <v>92</v>
      </c>
      <c r="B10" s="114"/>
      <c r="C10" s="115" t="s">
        <v>856</v>
      </c>
      <c r="D10" s="115" t="s">
        <v>849</v>
      </c>
      <c r="E10" s="115" t="s">
        <v>855</v>
      </c>
      <c r="F10" s="115" t="s">
        <v>960</v>
      </c>
      <c r="G10" s="115" t="s">
        <v>863</v>
      </c>
    </row>
    <row r="11" spans="1:7" x14ac:dyDescent="0.35">
      <c r="A11" s="110" t="s">
        <v>274</v>
      </c>
      <c r="B11" s="111">
        <v>0.11</v>
      </c>
      <c r="C11" s="112">
        <v>4.2000000000000003E-2</v>
      </c>
      <c r="D11" s="112">
        <v>0.05</v>
      </c>
      <c r="E11" s="112">
        <v>4.7E-2</v>
      </c>
      <c r="F11" s="112">
        <v>2.3E-2</v>
      </c>
      <c r="G11" s="112">
        <v>2.1999999999999999E-2</v>
      </c>
    </row>
    <row r="12" spans="1:7" ht="15" thickBot="1" x14ac:dyDescent="0.4">
      <c r="A12" s="113" t="s">
        <v>92</v>
      </c>
      <c r="B12" s="114"/>
      <c r="C12" s="115" t="s">
        <v>840</v>
      </c>
      <c r="D12" s="115" t="s">
        <v>863</v>
      </c>
      <c r="E12" s="115" t="s">
        <v>942</v>
      </c>
      <c r="F12" s="115" t="s">
        <v>1049</v>
      </c>
      <c r="G12" s="115" t="s">
        <v>970</v>
      </c>
    </row>
    <row r="13" spans="1:7" x14ac:dyDescent="0.35">
      <c r="A13" s="110" t="s">
        <v>853</v>
      </c>
      <c r="B13" s="111" t="s">
        <v>854</v>
      </c>
      <c r="C13" s="112">
        <v>3.7999999999999999E-2</v>
      </c>
      <c r="D13" s="112">
        <v>4.8000000000000001E-2</v>
      </c>
      <c r="E13" s="112">
        <v>4.5999999999999999E-2</v>
      </c>
      <c r="F13" s="112">
        <v>2.4E-2</v>
      </c>
      <c r="G13" s="112">
        <v>1.7999999999999999E-2</v>
      </c>
    </row>
    <row r="14" spans="1:7" ht="15" thickBot="1" x14ac:dyDescent="0.4">
      <c r="A14" s="113" t="s">
        <v>92</v>
      </c>
      <c r="B14" s="114"/>
      <c r="C14" s="115" t="s">
        <v>840</v>
      </c>
      <c r="D14" s="115" t="s">
        <v>1673</v>
      </c>
      <c r="E14" s="115" t="s">
        <v>856</v>
      </c>
      <c r="F14" s="115" t="s">
        <v>878</v>
      </c>
      <c r="G14" s="115" t="s">
        <v>862</v>
      </c>
    </row>
    <row r="15" spans="1:7" x14ac:dyDescent="0.35">
      <c r="A15" s="110" t="s">
        <v>859</v>
      </c>
      <c r="B15" s="111" t="s">
        <v>860</v>
      </c>
      <c r="C15" s="112">
        <v>0.33500000000000002</v>
      </c>
      <c r="D15" s="112">
        <v>0.36399999999999999</v>
      </c>
      <c r="E15" s="112">
        <v>0.32100000000000001</v>
      </c>
      <c r="F15" s="112">
        <v>0.19</v>
      </c>
      <c r="G15" s="112">
        <v>0.214</v>
      </c>
    </row>
    <row r="16" spans="1:7" ht="15" thickBot="1" x14ac:dyDescent="0.4">
      <c r="A16" s="113" t="s">
        <v>92</v>
      </c>
      <c r="B16" s="114"/>
      <c r="C16" s="115" t="s">
        <v>1941</v>
      </c>
      <c r="D16" s="115" t="s">
        <v>1001</v>
      </c>
      <c r="E16" s="115" t="s">
        <v>1745</v>
      </c>
      <c r="F16" s="115" t="s">
        <v>1754</v>
      </c>
      <c r="G16" s="115" t="s">
        <v>999</v>
      </c>
    </row>
    <row r="17" spans="1:7" x14ac:dyDescent="0.35">
      <c r="A17" s="110" t="s">
        <v>864</v>
      </c>
      <c r="B17" s="111" t="s">
        <v>865</v>
      </c>
      <c r="C17" s="112">
        <v>2.5000000000000001E-2</v>
      </c>
      <c r="D17" s="112">
        <v>0.03</v>
      </c>
      <c r="E17" s="112">
        <v>3.1E-2</v>
      </c>
      <c r="F17" s="112">
        <v>1.9E-2</v>
      </c>
      <c r="G17" s="112">
        <v>1.4E-2</v>
      </c>
    </row>
    <row r="18" spans="1:7" ht="15" thickBot="1" x14ac:dyDescent="0.4">
      <c r="A18" s="113" t="s">
        <v>92</v>
      </c>
      <c r="B18" s="114"/>
      <c r="C18" s="115" t="s">
        <v>980</v>
      </c>
      <c r="D18" s="115" t="s">
        <v>1672</v>
      </c>
      <c r="E18" s="115" t="s">
        <v>849</v>
      </c>
      <c r="F18" s="115" t="s">
        <v>980</v>
      </c>
      <c r="G18" s="115" t="s">
        <v>893</v>
      </c>
    </row>
    <row r="19" spans="1:7" ht="15" thickBot="1" x14ac:dyDescent="0.4">
      <c r="A19" s="108" t="s">
        <v>866</v>
      </c>
      <c r="B19" s="98"/>
      <c r="C19" s="109"/>
      <c r="D19" s="109"/>
      <c r="E19" s="109"/>
      <c r="F19" s="109"/>
      <c r="G19" s="109"/>
    </row>
    <row r="20" spans="1:7" x14ac:dyDescent="0.35">
      <c r="A20" s="110" t="s">
        <v>867</v>
      </c>
      <c r="B20" s="111" t="s">
        <v>868</v>
      </c>
      <c r="C20" s="116">
        <v>1.2</v>
      </c>
      <c r="D20" s="116">
        <v>1.27</v>
      </c>
      <c r="E20" s="116">
        <v>1.34</v>
      </c>
      <c r="F20" s="116">
        <v>1.34</v>
      </c>
      <c r="G20" s="116">
        <v>1.18</v>
      </c>
    </row>
    <row r="21" spans="1:7" ht="15" thickBot="1" x14ac:dyDescent="0.4">
      <c r="A21" s="113" t="s">
        <v>92</v>
      </c>
      <c r="B21" s="114"/>
      <c r="C21" s="115" t="s">
        <v>1942</v>
      </c>
      <c r="D21" s="115" t="s">
        <v>1872</v>
      </c>
      <c r="E21" s="115" t="s">
        <v>1948</v>
      </c>
      <c r="F21" s="115" t="s">
        <v>1756</v>
      </c>
      <c r="G21" s="115" t="s">
        <v>1005</v>
      </c>
    </row>
    <row r="22" spans="1:7" x14ac:dyDescent="0.35">
      <c r="A22" s="110" t="s">
        <v>873</v>
      </c>
      <c r="B22" s="111" t="s">
        <v>854</v>
      </c>
      <c r="C22" s="112">
        <v>3.7999999999999999E-2</v>
      </c>
      <c r="D22" s="112">
        <v>4.8000000000000001E-2</v>
      </c>
      <c r="E22" s="112">
        <v>4.5999999999999999E-2</v>
      </c>
      <c r="F22" s="112">
        <v>2.4E-2</v>
      </c>
      <c r="G22" s="112">
        <v>1.7999999999999999E-2</v>
      </c>
    </row>
    <row r="23" spans="1:7" ht="15" thickBot="1" x14ac:dyDescent="0.4">
      <c r="A23" s="113" t="s">
        <v>92</v>
      </c>
      <c r="B23" s="114"/>
      <c r="C23" s="115" t="s">
        <v>840</v>
      </c>
      <c r="D23" s="115" t="s">
        <v>1673</v>
      </c>
      <c r="E23" s="115" t="s">
        <v>856</v>
      </c>
      <c r="F23" s="115" t="s">
        <v>878</v>
      </c>
      <c r="G23" s="115" t="s">
        <v>862</v>
      </c>
    </row>
    <row r="24" spans="1:7" x14ac:dyDescent="0.35">
      <c r="A24" s="110" t="s">
        <v>874</v>
      </c>
      <c r="B24" s="111" t="s">
        <v>875</v>
      </c>
      <c r="C24" s="112">
        <v>4.4999999999999998E-2</v>
      </c>
      <c r="D24" s="112">
        <v>0.06</v>
      </c>
      <c r="E24" s="112">
        <v>6.0999999999999999E-2</v>
      </c>
      <c r="F24" s="112">
        <v>3.2000000000000001E-2</v>
      </c>
      <c r="G24" s="112">
        <v>2.1000000000000001E-2</v>
      </c>
    </row>
    <row r="25" spans="1:7" ht="15" thickBot="1" x14ac:dyDescent="0.4">
      <c r="A25" s="113" t="s">
        <v>92</v>
      </c>
      <c r="B25" s="114"/>
      <c r="C25" s="115" t="s">
        <v>872</v>
      </c>
      <c r="D25" s="115" t="s">
        <v>1763</v>
      </c>
      <c r="E25" s="115" t="s">
        <v>849</v>
      </c>
      <c r="F25" s="115" t="s">
        <v>1686</v>
      </c>
      <c r="G25" s="115" t="s">
        <v>855</v>
      </c>
    </row>
    <row r="26" spans="1:7" x14ac:dyDescent="0.35">
      <c r="A26" s="110" t="s">
        <v>881</v>
      </c>
      <c r="B26" s="111" t="s">
        <v>882</v>
      </c>
      <c r="C26" s="116">
        <v>3.36</v>
      </c>
      <c r="D26" s="116">
        <v>3.08</v>
      </c>
      <c r="E26" s="116">
        <v>3.2</v>
      </c>
      <c r="F26" s="116">
        <v>2.98</v>
      </c>
      <c r="G26" s="116">
        <v>3.06</v>
      </c>
    </row>
    <row r="27" spans="1:7" ht="15" thickBot="1" x14ac:dyDescent="0.4">
      <c r="A27" s="113" t="s">
        <v>92</v>
      </c>
      <c r="B27" s="114"/>
      <c r="C27" s="115" t="s">
        <v>1949</v>
      </c>
      <c r="D27" s="115" t="s">
        <v>98</v>
      </c>
      <c r="E27" s="115" t="s">
        <v>1750</v>
      </c>
      <c r="F27" s="115" t="s">
        <v>1680</v>
      </c>
      <c r="G27" s="115" t="s">
        <v>981</v>
      </c>
    </row>
    <row r="28" spans="1:7" x14ac:dyDescent="0.35">
      <c r="A28" s="110" t="s">
        <v>885</v>
      </c>
      <c r="B28" s="111" t="s">
        <v>886</v>
      </c>
      <c r="C28" s="112">
        <v>0.14699999999999999</v>
      </c>
      <c r="D28" s="112">
        <v>0.19400000000000001</v>
      </c>
      <c r="E28" s="112">
        <v>0.193</v>
      </c>
      <c r="F28" s="112">
        <v>9.9000000000000005E-2</v>
      </c>
      <c r="G28" s="112">
        <v>6.3E-2</v>
      </c>
    </row>
    <row r="29" spans="1:7" ht="15" thickBot="1" x14ac:dyDescent="0.4">
      <c r="A29" s="113" t="s">
        <v>92</v>
      </c>
      <c r="B29" s="114"/>
      <c r="C29" s="115" t="s">
        <v>979</v>
      </c>
      <c r="D29" s="115" t="s">
        <v>967</v>
      </c>
      <c r="E29" s="115" t="s">
        <v>970</v>
      </c>
      <c r="F29" s="115" t="s">
        <v>1950</v>
      </c>
      <c r="G29" s="115" t="s">
        <v>879</v>
      </c>
    </row>
    <row r="30" spans="1:7" x14ac:dyDescent="0.35">
      <c r="A30" s="110" t="s">
        <v>890</v>
      </c>
      <c r="B30" s="111" t="s">
        <v>891</v>
      </c>
      <c r="C30" s="116">
        <v>0.43</v>
      </c>
      <c r="D30" s="116">
        <v>0.46</v>
      </c>
      <c r="E30" s="116">
        <v>0.53</v>
      </c>
      <c r="F30" s="116">
        <v>0.85</v>
      </c>
      <c r="G30" s="116">
        <v>0.72</v>
      </c>
    </row>
    <row r="31" spans="1:7" ht="15" thickBot="1" x14ac:dyDescent="0.4">
      <c r="A31" s="113" t="s">
        <v>92</v>
      </c>
      <c r="B31" s="114"/>
      <c r="C31" s="115" t="s">
        <v>1839</v>
      </c>
      <c r="D31" s="115" t="s">
        <v>1784</v>
      </c>
      <c r="E31" s="115" t="s">
        <v>1951</v>
      </c>
      <c r="F31" s="115" t="s">
        <v>1952</v>
      </c>
      <c r="G31" s="115" t="s">
        <v>1825</v>
      </c>
    </row>
    <row r="32" spans="1:7" x14ac:dyDescent="0.35">
      <c r="A32" s="110" t="s">
        <v>306</v>
      </c>
      <c r="B32" s="111" t="s">
        <v>894</v>
      </c>
      <c r="C32" s="112">
        <v>6.3E-2</v>
      </c>
      <c r="D32" s="112">
        <v>0.09</v>
      </c>
      <c r="E32" s="112">
        <v>0.10100000000000001</v>
      </c>
      <c r="F32" s="112">
        <v>8.4000000000000005E-2</v>
      </c>
      <c r="G32" s="112">
        <v>4.4999999999999998E-2</v>
      </c>
    </row>
    <row r="33" spans="1:7" ht="15" thickBot="1" x14ac:dyDescent="0.4">
      <c r="A33" s="113" t="s">
        <v>92</v>
      </c>
      <c r="B33" s="114"/>
      <c r="C33" s="115" t="s">
        <v>897</v>
      </c>
      <c r="D33" s="115" t="s">
        <v>963</v>
      </c>
      <c r="E33" s="115" t="s">
        <v>1737</v>
      </c>
      <c r="F33" s="115" t="s">
        <v>1063</v>
      </c>
      <c r="G33" s="115" t="s">
        <v>1947</v>
      </c>
    </row>
    <row r="34" spans="1:7" x14ac:dyDescent="0.35">
      <c r="A34" s="110" t="s">
        <v>898</v>
      </c>
      <c r="B34" s="111" t="s">
        <v>899</v>
      </c>
      <c r="C34" s="116">
        <v>0.64</v>
      </c>
      <c r="D34" s="116">
        <v>0.68</v>
      </c>
      <c r="E34" s="116">
        <v>0.68</v>
      </c>
      <c r="F34" s="116">
        <v>0.63</v>
      </c>
      <c r="G34" s="116">
        <v>0.69</v>
      </c>
    </row>
    <row r="35" spans="1:7" ht="15" thickBot="1" x14ac:dyDescent="0.4">
      <c r="A35" s="113" t="s">
        <v>92</v>
      </c>
      <c r="B35" s="114"/>
      <c r="C35" s="115" t="s">
        <v>1727</v>
      </c>
      <c r="D35" s="115" t="s">
        <v>1747</v>
      </c>
      <c r="E35" s="115" t="s">
        <v>844</v>
      </c>
      <c r="F35" s="115" t="s">
        <v>1840</v>
      </c>
      <c r="G35" s="115" t="s">
        <v>854</v>
      </c>
    </row>
    <row r="36" spans="1:7" x14ac:dyDescent="0.35">
      <c r="A36" s="110" t="s">
        <v>905</v>
      </c>
      <c r="B36" s="111" t="s">
        <v>906</v>
      </c>
      <c r="C36" s="112">
        <v>4.1000000000000002E-2</v>
      </c>
      <c r="D36" s="112">
        <v>6.0999999999999999E-2</v>
      </c>
      <c r="E36" s="112">
        <v>6.9000000000000006E-2</v>
      </c>
      <c r="F36" s="112">
        <v>5.2999999999999999E-2</v>
      </c>
      <c r="G36" s="112">
        <v>3.2000000000000001E-2</v>
      </c>
    </row>
    <row r="37" spans="1:7" ht="15" thickBot="1" x14ac:dyDescent="0.4">
      <c r="A37" s="113" t="s">
        <v>92</v>
      </c>
      <c r="B37" s="114"/>
      <c r="C37" s="115" t="s">
        <v>998</v>
      </c>
      <c r="D37" s="115" t="s">
        <v>932</v>
      </c>
      <c r="E37" s="115" t="s">
        <v>863</v>
      </c>
      <c r="F37" s="115" t="s">
        <v>872</v>
      </c>
      <c r="G37" s="115" t="s">
        <v>960</v>
      </c>
    </row>
    <row r="38" spans="1:7" ht="15" thickBot="1" x14ac:dyDescent="0.4">
      <c r="A38" s="108" t="s">
        <v>911</v>
      </c>
      <c r="B38" s="98"/>
      <c r="C38" s="109"/>
      <c r="D38" s="109"/>
      <c r="E38" s="109"/>
      <c r="F38" s="109"/>
      <c r="G38" s="109"/>
    </row>
    <row r="39" spans="1:7" x14ac:dyDescent="0.35">
      <c r="A39" s="110" t="s">
        <v>912</v>
      </c>
      <c r="B39" s="111" t="s">
        <v>913</v>
      </c>
      <c r="C39" s="116">
        <v>0.67</v>
      </c>
      <c r="D39" s="116">
        <v>0.6</v>
      </c>
      <c r="E39" s="116">
        <v>0.68</v>
      </c>
      <c r="F39" s="116">
        <v>0.7</v>
      </c>
      <c r="G39" s="116">
        <v>0.53</v>
      </c>
    </row>
    <row r="40" spans="1:7" ht="15" thickBot="1" x14ac:dyDescent="0.4">
      <c r="A40" s="113" t="s">
        <v>92</v>
      </c>
      <c r="B40" s="114"/>
      <c r="C40" s="115" t="s">
        <v>848</v>
      </c>
      <c r="D40" s="115" t="s">
        <v>1953</v>
      </c>
      <c r="E40" s="115" t="s">
        <v>1954</v>
      </c>
      <c r="F40" s="115" t="s">
        <v>1829</v>
      </c>
      <c r="G40" s="115" t="s">
        <v>1955</v>
      </c>
    </row>
    <row r="41" spans="1:7" x14ac:dyDescent="0.35">
      <c r="A41" s="110" t="s">
        <v>916</v>
      </c>
      <c r="B41" s="111" t="s">
        <v>917</v>
      </c>
      <c r="C41" s="116">
        <v>0.88</v>
      </c>
      <c r="D41" s="116">
        <v>0.88</v>
      </c>
      <c r="E41" s="116">
        <v>0.99</v>
      </c>
      <c r="F41" s="116">
        <v>1.06</v>
      </c>
      <c r="G41" s="116">
        <v>0.92</v>
      </c>
    </row>
    <row r="42" spans="1:7" ht="15" thickBot="1" x14ac:dyDescent="0.4">
      <c r="A42" s="113" t="s">
        <v>92</v>
      </c>
      <c r="B42" s="114"/>
      <c r="C42" s="115" t="s">
        <v>1756</v>
      </c>
      <c r="D42" s="115" t="s">
        <v>856</v>
      </c>
      <c r="E42" s="115" t="s">
        <v>1956</v>
      </c>
      <c r="F42" s="115" t="s">
        <v>961</v>
      </c>
      <c r="G42" s="115" t="s">
        <v>949</v>
      </c>
    </row>
    <row r="43" spans="1:7" x14ac:dyDescent="0.35">
      <c r="A43" s="110" t="s">
        <v>922</v>
      </c>
      <c r="B43" s="111" t="s">
        <v>923</v>
      </c>
      <c r="C43" s="117">
        <v>5.0999999999999996</v>
      </c>
      <c r="D43" s="117">
        <v>9.1999999999999993</v>
      </c>
      <c r="E43" s="117">
        <v>12.4</v>
      </c>
      <c r="F43" s="117">
        <v>6.2</v>
      </c>
      <c r="G43" s="117">
        <v>4.4000000000000004</v>
      </c>
    </row>
    <row r="44" spans="1:7" ht="15" thickBot="1" x14ac:dyDescent="0.4">
      <c r="A44" s="113" t="s">
        <v>92</v>
      </c>
      <c r="B44" s="114"/>
      <c r="C44" s="115" t="s">
        <v>907</v>
      </c>
      <c r="D44" s="115" t="s">
        <v>1957</v>
      </c>
      <c r="E44" s="115" t="s">
        <v>1958</v>
      </c>
      <c r="F44" s="115" t="s">
        <v>1959</v>
      </c>
      <c r="G44" s="115" t="s">
        <v>1887</v>
      </c>
    </row>
    <row r="45" spans="1:7" x14ac:dyDescent="0.35">
      <c r="A45" s="110" t="s">
        <v>929</v>
      </c>
      <c r="B45" s="111" t="s">
        <v>930</v>
      </c>
      <c r="C45" s="117">
        <v>33.5</v>
      </c>
      <c r="D45" s="117">
        <v>29.5</v>
      </c>
      <c r="E45" s="117">
        <v>27.1</v>
      </c>
      <c r="F45" s="117">
        <v>26</v>
      </c>
      <c r="G45" s="117">
        <v>31.4</v>
      </c>
    </row>
    <row r="46" spans="1:7" ht="15" thickBot="1" x14ac:dyDescent="0.4">
      <c r="A46" s="113" t="s">
        <v>92</v>
      </c>
      <c r="B46" s="114"/>
      <c r="C46" s="115" t="s">
        <v>1706</v>
      </c>
      <c r="D46" s="115" t="s">
        <v>1005</v>
      </c>
      <c r="E46" s="115" t="s">
        <v>98</v>
      </c>
      <c r="F46" s="115" t="s">
        <v>1932</v>
      </c>
      <c r="G46" s="115" t="s">
        <v>1960</v>
      </c>
    </row>
    <row r="47" spans="1:7" ht="15" thickBot="1" x14ac:dyDescent="0.4">
      <c r="A47" s="108" t="s">
        <v>305</v>
      </c>
      <c r="B47" s="98"/>
      <c r="C47" s="109"/>
      <c r="D47" s="109"/>
      <c r="E47" s="109"/>
      <c r="F47" s="109"/>
      <c r="G47" s="109"/>
    </row>
    <row r="48" spans="1:7" x14ac:dyDescent="0.35">
      <c r="A48" s="110" t="s">
        <v>934</v>
      </c>
      <c r="B48" s="111" t="s">
        <v>882</v>
      </c>
      <c r="C48" s="116">
        <v>3.36</v>
      </c>
      <c r="D48" s="116">
        <v>3.08</v>
      </c>
      <c r="E48" s="116">
        <v>3.2</v>
      </c>
      <c r="F48" s="116">
        <v>2.98</v>
      </c>
      <c r="G48" s="116">
        <v>3.06</v>
      </c>
    </row>
    <row r="49" spans="1:7" ht="15" thickBot="1" x14ac:dyDescent="0.4">
      <c r="A49" s="113" t="s">
        <v>92</v>
      </c>
      <c r="B49" s="114"/>
      <c r="C49" s="115" t="s">
        <v>1949</v>
      </c>
      <c r="D49" s="115" t="s">
        <v>98</v>
      </c>
      <c r="E49" s="115" t="s">
        <v>1750</v>
      </c>
      <c r="F49" s="115" t="s">
        <v>1680</v>
      </c>
      <c r="G49" s="115" t="s">
        <v>981</v>
      </c>
    </row>
    <row r="50" spans="1:7" x14ac:dyDescent="0.35">
      <c r="A50" s="110" t="s">
        <v>935</v>
      </c>
      <c r="B50" s="111" t="s">
        <v>936</v>
      </c>
      <c r="C50" s="116">
        <v>0.88</v>
      </c>
      <c r="D50" s="116">
        <v>0.51</v>
      </c>
      <c r="E50" s="116">
        <v>0.47</v>
      </c>
      <c r="F50" s="116">
        <v>0.52</v>
      </c>
      <c r="G50" s="116">
        <v>0.51</v>
      </c>
    </row>
    <row r="51" spans="1:7" ht="15" thickBot="1" x14ac:dyDescent="0.4">
      <c r="A51" s="113" t="s">
        <v>92</v>
      </c>
      <c r="B51" s="114"/>
      <c r="C51" s="115" t="s">
        <v>1961</v>
      </c>
      <c r="D51" s="115" t="s">
        <v>1962</v>
      </c>
      <c r="E51" s="115" t="s">
        <v>993</v>
      </c>
      <c r="F51" s="115" t="s">
        <v>883</v>
      </c>
      <c r="G51" s="115" t="s">
        <v>841</v>
      </c>
    </row>
    <row r="52" spans="1:7" x14ac:dyDescent="0.35">
      <c r="A52" s="110" t="s">
        <v>940</v>
      </c>
      <c r="B52" s="111" t="s">
        <v>941</v>
      </c>
      <c r="C52" s="112">
        <v>7.8E-2</v>
      </c>
      <c r="D52" s="112">
        <v>0.14000000000000001</v>
      </c>
      <c r="E52" s="112">
        <v>0.11</v>
      </c>
      <c r="F52" s="112">
        <v>0.216</v>
      </c>
      <c r="G52" s="112">
        <v>0.123</v>
      </c>
    </row>
    <row r="53" spans="1:7" ht="15" thickBot="1" x14ac:dyDescent="0.4">
      <c r="A53" s="113" t="s">
        <v>92</v>
      </c>
      <c r="B53" s="114"/>
      <c r="C53" s="115" t="s">
        <v>1013</v>
      </c>
      <c r="D53" s="115" t="s">
        <v>1963</v>
      </c>
      <c r="E53" s="115" t="s">
        <v>918</v>
      </c>
      <c r="F53" s="115" t="s">
        <v>854</v>
      </c>
      <c r="G53" s="115" t="s">
        <v>1964</v>
      </c>
    </row>
    <row r="54" spans="1:7" x14ac:dyDescent="0.35">
      <c r="A54" s="110" t="s">
        <v>943</v>
      </c>
      <c r="B54" s="111" t="s">
        <v>944</v>
      </c>
      <c r="C54" s="116">
        <v>0.12</v>
      </c>
      <c r="D54" s="116">
        <v>0.24</v>
      </c>
      <c r="E54" s="116">
        <v>0.02</v>
      </c>
      <c r="F54" s="116">
        <v>0.16</v>
      </c>
      <c r="G54" s="116">
        <v>0.57999999999999996</v>
      </c>
    </row>
    <row r="55" spans="1:7" ht="15" thickBot="1" x14ac:dyDescent="0.4">
      <c r="A55" s="113" t="s">
        <v>92</v>
      </c>
      <c r="B55" s="114"/>
      <c r="C55" s="115" t="s">
        <v>1841</v>
      </c>
      <c r="D55" s="115" t="s">
        <v>1965</v>
      </c>
      <c r="E55" s="115" t="s">
        <v>1966</v>
      </c>
      <c r="F55" s="115" t="s">
        <v>902</v>
      </c>
      <c r="G55" s="115" t="s">
        <v>902</v>
      </c>
    </row>
    <row r="56" spans="1:7" ht="15" thickBot="1" x14ac:dyDescent="0.4">
      <c r="A56" s="108" t="s">
        <v>946</v>
      </c>
      <c r="B56" s="98"/>
      <c r="C56" s="109"/>
      <c r="D56" s="109"/>
      <c r="E56" s="109"/>
      <c r="F56" s="109"/>
      <c r="G56" s="109"/>
    </row>
    <row r="57" spans="1:7" x14ac:dyDescent="0.35">
      <c r="A57" s="110" t="s">
        <v>947</v>
      </c>
      <c r="B57" s="111" t="s">
        <v>948</v>
      </c>
      <c r="C57" s="117">
        <v>9.9</v>
      </c>
      <c r="D57" s="117">
        <v>11.8</v>
      </c>
      <c r="E57" s="117">
        <v>12.1</v>
      </c>
      <c r="F57" s="117">
        <v>12.9</v>
      </c>
      <c r="G57" s="117">
        <v>12</v>
      </c>
    </row>
    <row r="58" spans="1:7" ht="15" thickBot="1" x14ac:dyDescent="0.4">
      <c r="A58" s="113" t="s">
        <v>92</v>
      </c>
      <c r="B58" s="114"/>
      <c r="C58" s="115" t="s">
        <v>951</v>
      </c>
      <c r="D58" s="115" t="s">
        <v>1967</v>
      </c>
      <c r="E58" s="115" t="s">
        <v>1001</v>
      </c>
      <c r="F58" s="115" t="s">
        <v>1795</v>
      </c>
      <c r="G58" s="115" t="s">
        <v>989</v>
      </c>
    </row>
    <row r="59" spans="1:7" x14ac:dyDescent="0.35">
      <c r="A59" s="110" t="s">
        <v>91</v>
      </c>
      <c r="B59" s="111" t="s">
        <v>954</v>
      </c>
      <c r="C59" s="117">
        <v>36.9</v>
      </c>
      <c r="D59" s="117">
        <v>31</v>
      </c>
      <c r="E59" s="117">
        <v>30.1</v>
      </c>
      <c r="F59" s="117">
        <v>28.3</v>
      </c>
      <c r="G59" s="117">
        <v>30.6</v>
      </c>
    </row>
    <row r="60" spans="1:7" ht="15" thickBot="1" x14ac:dyDescent="0.4">
      <c r="A60" s="113" t="s">
        <v>92</v>
      </c>
      <c r="B60" s="114"/>
      <c r="C60" s="115" t="s">
        <v>884</v>
      </c>
      <c r="D60" s="115" t="s">
        <v>1052</v>
      </c>
      <c r="E60" s="115" t="s">
        <v>1842</v>
      </c>
      <c r="F60" s="115" t="s">
        <v>870</v>
      </c>
      <c r="G60" s="115" t="s">
        <v>1671</v>
      </c>
    </row>
    <row r="61" spans="1:7" x14ac:dyDescent="0.35">
      <c r="A61" s="110" t="s">
        <v>93</v>
      </c>
      <c r="B61" s="111" t="s">
        <v>955</v>
      </c>
      <c r="C61" s="117">
        <v>7.3</v>
      </c>
      <c r="D61" s="117">
        <v>7.2</v>
      </c>
      <c r="E61" s="117">
        <v>7.6</v>
      </c>
      <c r="F61" s="117">
        <v>8</v>
      </c>
      <c r="G61" s="117">
        <v>6.3</v>
      </c>
    </row>
    <row r="62" spans="1:7" ht="15" thickBot="1" x14ac:dyDescent="0.4">
      <c r="A62" s="113" t="s">
        <v>92</v>
      </c>
      <c r="B62" s="114"/>
      <c r="C62" s="115" t="s">
        <v>993</v>
      </c>
      <c r="D62" s="115" t="s">
        <v>872</v>
      </c>
      <c r="E62" s="115" t="s">
        <v>1870</v>
      </c>
      <c r="F62" s="115" t="s">
        <v>996</v>
      </c>
      <c r="G62" s="115" t="s">
        <v>1968</v>
      </c>
    </row>
    <row r="63" spans="1:7" x14ac:dyDescent="0.35">
      <c r="A63" s="110" t="s">
        <v>99</v>
      </c>
      <c r="B63" s="111" t="s">
        <v>956</v>
      </c>
      <c r="C63" s="117">
        <v>50.3</v>
      </c>
      <c r="D63" s="117">
        <v>51.1</v>
      </c>
      <c r="E63" s="117">
        <v>48.1</v>
      </c>
      <c r="F63" s="117">
        <v>45.8</v>
      </c>
      <c r="G63" s="117">
        <v>58</v>
      </c>
    </row>
    <row r="64" spans="1:7" ht="15" thickBot="1" x14ac:dyDescent="0.4">
      <c r="A64" s="113" t="s">
        <v>92</v>
      </c>
      <c r="B64" s="114"/>
      <c r="C64" s="115" t="s">
        <v>1969</v>
      </c>
      <c r="D64" s="115" t="s">
        <v>1694</v>
      </c>
      <c r="E64" s="115" t="s">
        <v>1742</v>
      </c>
      <c r="F64" s="115" t="s">
        <v>880</v>
      </c>
      <c r="G64" s="115" t="s">
        <v>1970</v>
      </c>
    </row>
    <row r="65" spans="1:7" x14ac:dyDescent="0.35">
      <c r="A65" s="110" t="s">
        <v>100</v>
      </c>
      <c r="B65" s="111" t="s">
        <v>957</v>
      </c>
      <c r="C65" s="117">
        <v>53.6</v>
      </c>
      <c r="D65" s="117">
        <v>52.5</v>
      </c>
      <c r="E65" s="117">
        <v>51.2</v>
      </c>
      <c r="F65" s="117">
        <v>48.2</v>
      </c>
      <c r="G65" s="117">
        <v>57.2</v>
      </c>
    </row>
    <row r="66" spans="1:7" ht="15" thickBot="1" x14ac:dyDescent="0.4">
      <c r="A66" s="113" t="s">
        <v>92</v>
      </c>
      <c r="B66" s="114"/>
      <c r="C66" s="115" t="s">
        <v>865</v>
      </c>
      <c r="D66" s="115" t="s">
        <v>888</v>
      </c>
      <c r="E66" s="115" t="s">
        <v>892</v>
      </c>
      <c r="F66" s="115" t="s">
        <v>1797</v>
      </c>
      <c r="G66" s="115" t="s">
        <v>1867</v>
      </c>
    </row>
    <row r="67" spans="1:7" x14ac:dyDescent="0.35">
      <c r="A67" s="110" t="s">
        <v>958</v>
      </c>
      <c r="B67" s="111" t="s">
        <v>959</v>
      </c>
      <c r="C67" s="116">
        <v>2.67</v>
      </c>
      <c r="D67" s="116">
        <v>2.6</v>
      </c>
      <c r="E67" s="116">
        <v>2.67</v>
      </c>
      <c r="F67" s="116">
        <v>2.62</v>
      </c>
      <c r="G67" s="116">
        <v>2.25</v>
      </c>
    </row>
    <row r="68" spans="1:7" ht="15" thickBot="1" x14ac:dyDescent="0.4">
      <c r="A68" s="113" t="s">
        <v>92</v>
      </c>
      <c r="B68" s="114"/>
      <c r="C68" s="115" t="s">
        <v>1950</v>
      </c>
      <c r="D68" s="115" t="s">
        <v>892</v>
      </c>
      <c r="E68" s="115" t="s">
        <v>963</v>
      </c>
      <c r="F68" s="115" t="s">
        <v>851</v>
      </c>
      <c r="G68" s="115" t="s">
        <v>1893</v>
      </c>
    </row>
    <row r="69" spans="1:7" x14ac:dyDescent="0.35">
      <c r="A69" s="110" t="s">
        <v>964</v>
      </c>
      <c r="B69" s="118" t="s">
        <v>965</v>
      </c>
      <c r="C69" s="112">
        <v>-3.7999999999999999E-2</v>
      </c>
      <c r="D69" s="112">
        <v>7.0000000000000001E-3</v>
      </c>
      <c r="E69" s="112">
        <v>2.8000000000000001E-2</v>
      </c>
      <c r="F69" s="112">
        <v>2.9000000000000001E-2</v>
      </c>
      <c r="G69" s="112">
        <v>-1.2999999999999999E-2</v>
      </c>
    </row>
    <row r="70" spans="1:7" ht="15" thickBot="1" x14ac:dyDescent="0.4">
      <c r="A70" s="113" t="s">
        <v>92</v>
      </c>
      <c r="B70" s="114"/>
      <c r="C70" s="115" t="s">
        <v>849</v>
      </c>
      <c r="D70" s="115" t="s">
        <v>1017</v>
      </c>
      <c r="E70" s="115" t="s">
        <v>1696</v>
      </c>
      <c r="F70" s="115" t="s">
        <v>849</v>
      </c>
      <c r="G70" s="115" t="s">
        <v>1932</v>
      </c>
    </row>
    <row r="71" spans="1:7" x14ac:dyDescent="0.35">
      <c r="A71" s="110" t="s">
        <v>969</v>
      </c>
      <c r="B71" s="111" t="s">
        <v>966</v>
      </c>
      <c r="C71" s="112">
        <v>0.105</v>
      </c>
      <c r="D71" s="112">
        <v>6.5000000000000002E-2</v>
      </c>
      <c r="E71" s="112">
        <v>9.2999999999999999E-2</v>
      </c>
      <c r="F71" s="112">
        <v>7.0000000000000007E-2</v>
      </c>
      <c r="G71" s="112">
        <v>6.6000000000000003E-2</v>
      </c>
    </row>
    <row r="72" spans="1:7" ht="15" thickBot="1" x14ac:dyDescent="0.4">
      <c r="A72" s="113" t="s">
        <v>92</v>
      </c>
      <c r="B72" s="114"/>
      <c r="C72" s="115" t="s">
        <v>1688</v>
      </c>
      <c r="D72" s="115" t="s">
        <v>998</v>
      </c>
      <c r="E72" s="115" t="s">
        <v>1688</v>
      </c>
      <c r="F72" s="115" t="s">
        <v>877</v>
      </c>
      <c r="G72" s="115" t="s">
        <v>844</v>
      </c>
    </row>
    <row r="73" spans="1:7" x14ac:dyDescent="0.35">
      <c r="A73" s="110" t="s">
        <v>971</v>
      </c>
      <c r="B73" s="111" t="s">
        <v>945</v>
      </c>
      <c r="C73" s="112">
        <v>8.1000000000000003E-2</v>
      </c>
      <c r="D73" s="112">
        <v>9.5000000000000001E-2</v>
      </c>
      <c r="E73" s="112">
        <v>9.7000000000000003E-2</v>
      </c>
      <c r="F73" s="112">
        <v>5.5E-2</v>
      </c>
      <c r="G73" s="112">
        <v>3.3000000000000002E-2</v>
      </c>
    </row>
    <row r="74" spans="1:7" ht="15" thickBot="1" x14ac:dyDescent="0.4">
      <c r="A74" s="113" t="s">
        <v>92</v>
      </c>
      <c r="B74" s="114"/>
      <c r="C74" s="115" t="s">
        <v>879</v>
      </c>
      <c r="D74" s="115" t="s">
        <v>921</v>
      </c>
      <c r="E74" s="115" t="s">
        <v>1756</v>
      </c>
      <c r="F74" s="115" t="s">
        <v>1932</v>
      </c>
      <c r="G74" s="115" t="s">
        <v>878</v>
      </c>
    </row>
    <row r="75" spans="1:7" x14ac:dyDescent="0.35">
      <c r="A75" s="110" t="s">
        <v>973</v>
      </c>
      <c r="B75" s="111" t="s">
        <v>945</v>
      </c>
      <c r="C75" s="117" t="s">
        <v>1971</v>
      </c>
      <c r="D75" s="117" t="s">
        <v>1972</v>
      </c>
      <c r="E75" s="117" t="s">
        <v>1973</v>
      </c>
      <c r="F75" s="117" t="s">
        <v>1974</v>
      </c>
      <c r="G75" s="117" t="s">
        <v>1975</v>
      </c>
    </row>
    <row r="76" spans="1:7" ht="15" thickBot="1" x14ac:dyDescent="0.4">
      <c r="A76" s="113" t="s">
        <v>92</v>
      </c>
      <c r="B76" s="114"/>
      <c r="C76" s="115" t="s">
        <v>1976</v>
      </c>
      <c r="D76" s="115" t="s">
        <v>1977</v>
      </c>
      <c r="E76" s="115" t="s">
        <v>1978</v>
      </c>
      <c r="F76" s="115" t="s">
        <v>1979</v>
      </c>
      <c r="G76" s="115" t="s">
        <v>1730</v>
      </c>
    </row>
  </sheetData>
  <sortState xmlns:xlrd2="http://schemas.microsoft.com/office/spreadsheetml/2017/richdata2" columnSort="1" ref="C3:G76">
    <sortCondition ref="C3:G3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2752-075A-4607-999D-683B9F0DF304}">
  <dimension ref="A1:K24"/>
  <sheetViews>
    <sheetView topLeftCell="B1" zoomScale="70" zoomScaleNormal="70" workbookViewId="0">
      <selection activeCell="I25" sqref="I25"/>
    </sheetView>
  </sheetViews>
  <sheetFormatPr defaultRowHeight="14.5" x14ac:dyDescent="0.35"/>
  <cols>
    <col min="1" max="1" width="14.453125" bestFit="1" customWidth="1"/>
    <col min="2" max="2" width="40.453125" customWidth="1"/>
    <col min="3" max="7" width="12.453125" bestFit="1" customWidth="1"/>
  </cols>
  <sheetData>
    <row r="1" spans="1:11" x14ac:dyDescent="0.35">
      <c r="B1">
        <v>2018</v>
      </c>
      <c r="C1">
        <v>2019</v>
      </c>
      <c r="D1">
        <v>2020</v>
      </c>
      <c r="E1">
        <v>2021</v>
      </c>
      <c r="F1">
        <v>2022</v>
      </c>
    </row>
    <row r="2" spans="1:11" x14ac:dyDescent="0.35">
      <c r="A2" t="s">
        <v>13</v>
      </c>
      <c r="B2" s="52">
        <f>C9/1000</f>
        <v>52561.949970590002</v>
      </c>
      <c r="C2" s="52">
        <f t="shared" ref="C2:F2" si="0">D9/1000</f>
        <v>56318.122762999999</v>
      </c>
      <c r="D2" s="52">
        <f t="shared" si="0"/>
        <v>59636.28622555</v>
      </c>
      <c r="E2" s="52">
        <f t="shared" si="0"/>
        <v>60919.164846150001</v>
      </c>
      <c r="F2" s="52">
        <f t="shared" si="0"/>
        <v>59956.247196999997</v>
      </c>
      <c r="G2" t="s">
        <v>1980</v>
      </c>
    </row>
    <row r="3" spans="1:11" x14ac:dyDescent="0.35">
      <c r="A3" t="s">
        <v>1981</v>
      </c>
      <c r="B3" s="51">
        <f>(C9-B9)/B9</f>
        <v>2.7907558478985493E-2</v>
      </c>
      <c r="C3" s="51">
        <f t="shared" ref="C3:F3" si="1">(D9-C9)/C9</f>
        <v>7.1461823515141382E-2</v>
      </c>
      <c r="D3" s="51">
        <f t="shared" si="1"/>
        <v>5.8918218501593615E-2</v>
      </c>
      <c r="E3" s="51">
        <f t="shared" si="1"/>
        <v>2.1511712110107481E-2</v>
      </c>
      <c r="F3" s="51">
        <f t="shared" si="1"/>
        <v>-1.5806481450982356E-2</v>
      </c>
    </row>
    <row r="4" spans="1:11" x14ac:dyDescent="0.35">
      <c r="B4" s="51">
        <f>AVERAGE(B3:F3)</f>
        <v>3.2798566230969127E-2</v>
      </c>
    </row>
    <row r="8" spans="1:11" x14ac:dyDescent="0.35">
      <c r="B8">
        <v>2017</v>
      </c>
      <c r="C8">
        <v>2018</v>
      </c>
      <c r="D8">
        <v>2019</v>
      </c>
      <c r="E8">
        <v>2020</v>
      </c>
      <c r="F8">
        <v>2021</v>
      </c>
      <c r="G8">
        <v>2022</v>
      </c>
    </row>
    <row r="9" spans="1:11" x14ac:dyDescent="0.35">
      <c r="B9" s="70">
        <f>B10/1000000</f>
        <v>51134899.765078999</v>
      </c>
      <c r="C9" s="68">
        <v>52561949.970590003</v>
      </c>
      <c r="D9" s="68">
        <v>56318122.762999997</v>
      </c>
      <c r="E9" s="68">
        <v>59636286.225550003</v>
      </c>
      <c r="F9" s="68">
        <v>60919164.846150003</v>
      </c>
      <c r="G9" s="68">
        <v>59956247.196999997</v>
      </c>
    </row>
    <row r="10" spans="1:11" x14ac:dyDescent="0.35">
      <c r="B10" s="69">
        <v>51134899765079</v>
      </c>
    </row>
    <row r="13" spans="1:11" x14ac:dyDescent="0.35">
      <c r="A13" s="1" t="s">
        <v>173</v>
      </c>
      <c r="B13" s="1" t="s">
        <v>174</v>
      </c>
      <c r="C13" s="1" t="s">
        <v>1098</v>
      </c>
      <c r="D13" s="1" t="s">
        <v>175</v>
      </c>
      <c r="E13" s="1" t="s">
        <v>1117</v>
      </c>
      <c r="F13" s="1" t="s">
        <v>1083</v>
      </c>
      <c r="G13" s="1" t="s">
        <v>1084</v>
      </c>
      <c r="H13" s="1" t="s">
        <v>1085</v>
      </c>
      <c r="I13" s="1" t="s">
        <v>1086</v>
      </c>
      <c r="J13" s="1" t="s">
        <v>1087</v>
      </c>
      <c r="K13" s="1" t="s">
        <v>1088</v>
      </c>
    </row>
    <row r="14" spans="1:11" x14ac:dyDescent="0.35">
      <c r="A14" s="17" t="s">
        <v>177</v>
      </c>
      <c r="B14" s="18" t="s">
        <v>180</v>
      </c>
      <c r="C14" s="17" t="s">
        <v>1102</v>
      </c>
      <c r="D14" s="17" t="s">
        <v>0</v>
      </c>
      <c r="E14" s="17" t="s">
        <v>1118</v>
      </c>
      <c r="F14" s="30">
        <v>44785.3</v>
      </c>
      <c r="G14" s="30">
        <v>50034.8</v>
      </c>
      <c r="H14" s="30">
        <v>54155.6</v>
      </c>
      <c r="I14" s="30">
        <v>57204.6</v>
      </c>
      <c r="J14" s="30">
        <v>59274.8</v>
      </c>
      <c r="K14" s="30">
        <v>62505.3</v>
      </c>
    </row>
    <row r="16" spans="1:11" x14ac:dyDescent="0.35">
      <c r="F16" s="1" t="s">
        <v>1083</v>
      </c>
      <c r="G16" s="1" t="s">
        <v>1084</v>
      </c>
      <c r="H16" s="1" t="s">
        <v>1085</v>
      </c>
      <c r="I16" s="1" t="s">
        <v>1086</v>
      </c>
      <c r="J16" s="1" t="s">
        <v>1087</v>
      </c>
      <c r="K16" s="1" t="s">
        <v>1088</v>
      </c>
    </row>
    <row r="17" spans="6:11" x14ac:dyDescent="0.35">
      <c r="F17" s="30">
        <v>44785.3</v>
      </c>
      <c r="G17" s="30">
        <v>50034.8</v>
      </c>
      <c r="H17" s="30">
        <v>54155.6</v>
      </c>
      <c r="I17" s="30">
        <v>57204.6</v>
      </c>
      <c r="J17" s="30">
        <v>59274.8</v>
      </c>
      <c r="K17" s="30">
        <v>62505.3</v>
      </c>
    </row>
    <row r="24" spans="6:11" x14ac:dyDescent="0.35">
      <c r="I24">
        <f>(G9-E9)/E9</f>
        <v>5.365206180677839E-3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D0D3-5BAE-4AE5-9123-287B9765EB7E}">
  <dimension ref="A1:K26"/>
  <sheetViews>
    <sheetView workbookViewId="0">
      <selection activeCell="K16" sqref="K16:K17"/>
    </sheetView>
  </sheetViews>
  <sheetFormatPr defaultRowHeight="14.5" x14ac:dyDescent="0.35"/>
  <cols>
    <col min="2" max="2" width="29.453125" bestFit="1" customWidth="1"/>
    <col min="5" max="5" width="17.453125" customWidth="1"/>
    <col min="6" max="6" width="8.81640625" bestFit="1" customWidth="1"/>
  </cols>
  <sheetData>
    <row r="1" spans="1:11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35">
      <c r="A5" s="31" t="s">
        <v>1982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 x14ac:dyDescent="0.35">
      <c r="A6" s="1" t="s">
        <v>173</v>
      </c>
      <c r="B6" s="1" t="s">
        <v>174</v>
      </c>
      <c r="C6" s="1" t="s">
        <v>1098</v>
      </c>
      <c r="D6" s="1" t="s">
        <v>175</v>
      </c>
      <c r="E6" s="1" t="s">
        <v>1117</v>
      </c>
      <c r="F6" s="1" t="s">
        <v>1083</v>
      </c>
      <c r="G6" s="1" t="s">
        <v>1084</v>
      </c>
      <c r="H6" s="1" t="s">
        <v>1085</v>
      </c>
      <c r="I6" s="1" t="s">
        <v>1086</v>
      </c>
      <c r="J6" s="1" t="s">
        <v>1087</v>
      </c>
      <c r="K6" s="1" t="s">
        <v>1088</v>
      </c>
    </row>
    <row r="7" spans="1:11" x14ac:dyDescent="0.35">
      <c r="A7" s="17" t="s">
        <v>177</v>
      </c>
      <c r="B7" s="73" t="s">
        <v>178</v>
      </c>
      <c r="C7" s="17" t="s">
        <v>1102</v>
      </c>
      <c r="D7" s="17" t="s">
        <v>0</v>
      </c>
      <c r="E7" s="17" t="s">
        <v>1118</v>
      </c>
      <c r="F7" s="30">
        <v>108205.1</v>
      </c>
      <c r="G7" s="30">
        <v>117038.9</v>
      </c>
      <c r="H7" s="30">
        <v>123641.3</v>
      </c>
      <c r="I7" s="30">
        <v>128093.1</v>
      </c>
      <c r="J7" s="30">
        <v>132877.6</v>
      </c>
      <c r="K7" s="30">
        <v>140248.79999999999</v>
      </c>
    </row>
    <row r="8" spans="1:11" x14ac:dyDescent="0.35">
      <c r="A8" s="17" t="s">
        <v>177</v>
      </c>
      <c r="B8" s="29" t="s">
        <v>179</v>
      </c>
      <c r="C8" s="17" t="s">
        <v>1102</v>
      </c>
      <c r="D8" s="17" t="s">
        <v>0</v>
      </c>
      <c r="E8" s="17" t="s">
        <v>1118</v>
      </c>
      <c r="F8" s="30">
        <v>33134.9</v>
      </c>
      <c r="G8" s="30">
        <v>33067</v>
      </c>
      <c r="H8" s="30">
        <v>33078.1</v>
      </c>
      <c r="I8" s="30">
        <v>32479.200000000001</v>
      </c>
      <c r="J8" s="30">
        <v>32461.8</v>
      </c>
      <c r="K8" s="30">
        <v>33507.699999999997</v>
      </c>
    </row>
    <row r="9" spans="1:11" x14ac:dyDescent="0.35">
      <c r="A9" s="17" t="s">
        <v>177</v>
      </c>
      <c r="B9" s="29" t="s">
        <v>181</v>
      </c>
      <c r="C9" s="17" t="s">
        <v>1102</v>
      </c>
      <c r="D9" s="17" t="s">
        <v>0</v>
      </c>
      <c r="E9" s="17" t="s">
        <v>1118</v>
      </c>
      <c r="F9" s="30">
        <v>69764.3</v>
      </c>
      <c r="G9" s="30">
        <v>78195.199999999997</v>
      </c>
      <c r="H9" s="30">
        <v>85067.199999999997</v>
      </c>
      <c r="I9" s="30">
        <v>90188.7</v>
      </c>
      <c r="J9" s="30">
        <v>94712.9</v>
      </c>
      <c r="K9" s="30">
        <v>100734.2</v>
      </c>
    </row>
    <row r="10" spans="1:11" x14ac:dyDescent="0.35">
      <c r="A10" s="17" t="s">
        <v>177</v>
      </c>
      <c r="B10" s="18" t="s">
        <v>184</v>
      </c>
      <c r="C10" s="17" t="s">
        <v>1102</v>
      </c>
      <c r="D10" s="17" t="s">
        <v>0</v>
      </c>
      <c r="E10" s="17" t="s">
        <v>1118</v>
      </c>
      <c r="F10" s="30">
        <v>778.4</v>
      </c>
      <c r="G10" s="30">
        <v>863.3</v>
      </c>
      <c r="H10" s="30">
        <v>932.8</v>
      </c>
      <c r="I10" s="30">
        <v>979</v>
      </c>
      <c r="J10" s="30">
        <v>1058.4000000000001</v>
      </c>
      <c r="K10" s="30">
        <v>1153.5999999999999</v>
      </c>
    </row>
    <row r="11" spans="1:11" x14ac:dyDescent="0.35">
      <c r="A11" s="17" t="s">
        <v>177</v>
      </c>
      <c r="B11" s="18" t="s">
        <v>187</v>
      </c>
      <c r="C11" s="17" t="s">
        <v>1102</v>
      </c>
      <c r="D11" s="17" t="s">
        <v>0</v>
      </c>
      <c r="E11" s="17" t="s">
        <v>1118</v>
      </c>
      <c r="F11" s="30">
        <v>1864</v>
      </c>
      <c r="G11" s="30">
        <v>2084.9</v>
      </c>
      <c r="H11" s="30">
        <v>2223</v>
      </c>
      <c r="I11" s="30">
        <v>2342.3000000000002</v>
      </c>
      <c r="J11" s="30">
        <v>2515.9</v>
      </c>
      <c r="K11" s="30">
        <v>2717.4</v>
      </c>
    </row>
    <row r="12" spans="1:11" x14ac:dyDescent="0.35">
      <c r="A12" s="17" t="s">
        <v>177</v>
      </c>
      <c r="B12" s="18" t="s">
        <v>180</v>
      </c>
      <c r="C12" s="17" t="s">
        <v>1102</v>
      </c>
      <c r="D12" s="17" t="s">
        <v>0</v>
      </c>
      <c r="E12" s="17" t="s">
        <v>1118</v>
      </c>
      <c r="F12" s="30">
        <v>44785.3</v>
      </c>
      <c r="G12" s="30">
        <v>50034.8</v>
      </c>
      <c r="H12" s="30">
        <v>54155.6</v>
      </c>
      <c r="I12" s="30">
        <v>57204.6</v>
      </c>
      <c r="J12" s="30">
        <v>59274.8</v>
      </c>
      <c r="K12" s="30">
        <v>62505.3</v>
      </c>
    </row>
    <row r="13" spans="1:11" x14ac:dyDescent="0.35">
      <c r="A13" s="17" t="s">
        <v>177</v>
      </c>
      <c r="B13" s="18" t="s">
        <v>182</v>
      </c>
      <c r="C13" s="17" t="s">
        <v>1102</v>
      </c>
      <c r="D13" s="17" t="s">
        <v>0</v>
      </c>
      <c r="E13" s="17" t="s">
        <v>1118</v>
      </c>
      <c r="F13" s="30">
        <v>14821.2</v>
      </c>
      <c r="G13" s="30">
        <v>17024.2</v>
      </c>
      <c r="H13" s="30">
        <v>18996.599999999999</v>
      </c>
      <c r="I13" s="30">
        <v>20640</v>
      </c>
      <c r="J13" s="30">
        <v>22371.3</v>
      </c>
      <c r="K13" s="30">
        <v>24279.4</v>
      </c>
    </row>
    <row r="14" spans="1:11" x14ac:dyDescent="0.35">
      <c r="A14" s="17" t="s">
        <v>177</v>
      </c>
      <c r="B14" s="18" t="s">
        <v>195</v>
      </c>
      <c r="C14" s="17" t="s">
        <v>1102</v>
      </c>
      <c r="D14" s="17" t="s">
        <v>0</v>
      </c>
      <c r="E14" s="17" t="s">
        <v>1118</v>
      </c>
      <c r="F14" s="30">
        <v>7515.4</v>
      </c>
      <c r="G14" s="30">
        <v>8187.9</v>
      </c>
      <c r="H14" s="30">
        <v>8759.2999999999993</v>
      </c>
      <c r="I14" s="30">
        <v>9022.9</v>
      </c>
      <c r="J14" s="30">
        <v>9492.4</v>
      </c>
      <c r="K14" s="30">
        <v>10078.5</v>
      </c>
    </row>
    <row r="15" spans="1:11" x14ac:dyDescent="0.35">
      <c r="A15" s="17" t="s">
        <v>177</v>
      </c>
      <c r="B15" s="29" t="s">
        <v>197</v>
      </c>
      <c r="C15" s="17" t="s">
        <v>1102</v>
      </c>
      <c r="D15" s="17" t="s">
        <v>0</v>
      </c>
      <c r="E15" s="17" t="s">
        <v>1118</v>
      </c>
      <c r="F15" s="30">
        <v>5305.8</v>
      </c>
      <c r="G15" s="30">
        <v>5776.7</v>
      </c>
      <c r="H15" s="30">
        <v>5495.9</v>
      </c>
      <c r="I15" s="30">
        <v>5425.2</v>
      </c>
      <c r="J15" s="30">
        <v>5702.9</v>
      </c>
      <c r="K15" s="30">
        <v>6006.9</v>
      </c>
    </row>
    <row r="16" spans="1:11" x14ac:dyDescent="0.35">
      <c r="A16" s="17" t="s">
        <v>177</v>
      </c>
      <c r="B16" s="18" t="s">
        <v>198</v>
      </c>
      <c r="C16" s="17" t="s">
        <v>1102</v>
      </c>
      <c r="D16" s="17" t="s">
        <v>0</v>
      </c>
      <c r="E16" s="17" t="s">
        <v>1118</v>
      </c>
      <c r="F16" s="30">
        <v>5305.8</v>
      </c>
      <c r="G16" s="30">
        <v>5776.7</v>
      </c>
      <c r="H16" s="30">
        <v>5495.9</v>
      </c>
      <c r="I16" s="30">
        <v>5425.2</v>
      </c>
      <c r="J16" s="30">
        <v>5702.9</v>
      </c>
      <c r="K16" s="30">
        <v>6006.9</v>
      </c>
    </row>
    <row r="17" spans="1:11" x14ac:dyDescent="0.35">
      <c r="A17" s="17" t="s">
        <v>177</v>
      </c>
      <c r="B17" s="74" t="s">
        <v>199</v>
      </c>
      <c r="C17" s="17" t="s">
        <v>1102</v>
      </c>
      <c r="D17" s="17" t="s">
        <v>0</v>
      </c>
      <c r="E17" s="17" t="s">
        <v>1118</v>
      </c>
      <c r="F17" s="30">
        <v>5149.8</v>
      </c>
      <c r="G17" s="30">
        <v>5606.7</v>
      </c>
      <c r="H17" s="30">
        <v>5313.2</v>
      </c>
      <c r="I17" s="30">
        <v>5235.1000000000004</v>
      </c>
      <c r="J17" s="30">
        <v>5500</v>
      </c>
      <c r="K17" s="30">
        <v>5787.1</v>
      </c>
    </row>
    <row r="18" spans="1:11" x14ac:dyDescent="0.35">
      <c r="A18" s="17" t="s">
        <v>177</v>
      </c>
      <c r="B18" s="74" t="s">
        <v>200</v>
      </c>
      <c r="C18" s="17" t="s">
        <v>1102</v>
      </c>
      <c r="D18" s="17" t="s">
        <v>0</v>
      </c>
      <c r="E18" s="17" t="s">
        <v>1118</v>
      </c>
      <c r="F18" s="30">
        <v>156</v>
      </c>
      <c r="G18" s="30">
        <v>170</v>
      </c>
      <c r="H18" s="30">
        <v>182.8</v>
      </c>
      <c r="I18" s="30">
        <v>190.1</v>
      </c>
      <c r="J18" s="30">
        <v>202.9</v>
      </c>
      <c r="K18" s="30">
        <v>219.8</v>
      </c>
    </row>
    <row r="19" spans="1:11" x14ac:dyDescent="0.35">
      <c r="A19" s="17" t="s">
        <v>177</v>
      </c>
      <c r="B19" s="18" t="s">
        <v>201</v>
      </c>
      <c r="C19" s="17" t="s">
        <v>1102</v>
      </c>
      <c r="D19" s="17" t="s">
        <v>0</v>
      </c>
      <c r="E19" s="17" t="s">
        <v>1118</v>
      </c>
      <c r="F19" s="20" t="s">
        <v>202</v>
      </c>
      <c r="G19" s="20" t="s">
        <v>202</v>
      </c>
      <c r="H19" s="20" t="s">
        <v>202</v>
      </c>
      <c r="I19" s="20" t="s">
        <v>202</v>
      </c>
      <c r="J19" s="20" t="s">
        <v>202</v>
      </c>
      <c r="K19" s="20" t="s">
        <v>202</v>
      </c>
    </row>
    <row r="20" spans="1:11" x14ac:dyDescent="0.35">
      <c r="A20" s="17" t="s">
        <v>177</v>
      </c>
      <c r="B20" s="18" t="s">
        <v>203</v>
      </c>
      <c r="C20" s="17" t="s">
        <v>1102</v>
      </c>
      <c r="D20" s="17" t="s">
        <v>0</v>
      </c>
      <c r="E20" s="17" t="s">
        <v>1118</v>
      </c>
      <c r="F20" s="20" t="s">
        <v>202</v>
      </c>
      <c r="G20" s="20" t="s">
        <v>202</v>
      </c>
      <c r="H20" s="20" t="s">
        <v>202</v>
      </c>
      <c r="I20" s="20" t="s">
        <v>202</v>
      </c>
      <c r="J20" s="20" t="s">
        <v>202</v>
      </c>
      <c r="K20" s="20" t="s">
        <v>202</v>
      </c>
    </row>
    <row r="22" spans="1:11" x14ac:dyDescent="0.35">
      <c r="A22" s="33" t="s">
        <v>1093</v>
      </c>
      <c r="B22" s="27"/>
      <c r="C22" s="27"/>
      <c r="D22" s="27"/>
      <c r="E22" s="27"/>
      <c r="F22" s="38">
        <f>SUM(F8,F12,F13,F14,F15,F10:F11)</f>
        <v>108205</v>
      </c>
      <c r="G22" s="27"/>
      <c r="H22" s="27"/>
      <c r="I22" s="27"/>
      <c r="J22" s="27"/>
      <c r="K22" s="27"/>
    </row>
    <row r="23" spans="1:11" x14ac:dyDescent="0.35">
      <c r="A23" s="28" t="s">
        <v>1094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5" spans="1:11" x14ac:dyDescent="0.35">
      <c r="A25" s="28" t="s">
        <v>1983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 x14ac:dyDescent="0.35">
      <c r="A26" s="28" t="s">
        <v>1096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63F1-3509-4491-9325-322EC7508096}">
  <dimension ref="A1:Q22"/>
  <sheetViews>
    <sheetView topLeftCell="A4" workbookViewId="0">
      <selection activeCell="K10" sqref="K10"/>
    </sheetView>
  </sheetViews>
  <sheetFormatPr defaultRowHeight="14.5" x14ac:dyDescent="0.35"/>
  <sheetData>
    <row r="1" spans="1:17" ht="52.5" x14ac:dyDescent="0.35">
      <c r="A1" s="53" t="s">
        <v>1984</v>
      </c>
      <c r="B1" s="557" t="s">
        <v>1985</v>
      </c>
      <c r="C1" s="557"/>
      <c r="D1" s="557"/>
      <c r="E1" s="557"/>
      <c r="F1" s="557"/>
      <c r="G1" s="557"/>
    </row>
    <row r="2" spans="1:17" ht="26.5" x14ac:dyDescent="0.35">
      <c r="A2" s="53" t="s">
        <v>1986</v>
      </c>
    </row>
    <row r="3" spans="1:17" ht="26.5" x14ac:dyDescent="0.35">
      <c r="A3" s="53" t="s">
        <v>1987</v>
      </c>
    </row>
    <row r="5" spans="1:17" ht="39.5" x14ac:dyDescent="0.35">
      <c r="A5" s="53" t="s">
        <v>1988</v>
      </c>
      <c r="B5" s="558" t="s">
        <v>1989</v>
      </c>
      <c r="C5" s="558"/>
      <c r="D5" s="558"/>
      <c r="E5" s="558"/>
      <c r="F5" s="558"/>
      <c r="G5" s="558"/>
      <c r="H5" s="558"/>
      <c r="I5" s="558"/>
      <c r="J5" s="558"/>
      <c r="K5" s="558"/>
      <c r="L5" s="558"/>
      <c r="M5" s="558"/>
      <c r="N5" s="558"/>
      <c r="O5" s="558"/>
      <c r="P5" s="558"/>
      <c r="Q5" s="558"/>
    </row>
    <row r="7" spans="1:17" ht="39.5" x14ac:dyDescent="0.35">
      <c r="A7" s="54" t="s">
        <v>1990</v>
      </c>
      <c r="B7" s="55" t="s">
        <v>1990</v>
      </c>
      <c r="C7" s="56" t="s">
        <v>1990</v>
      </c>
      <c r="D7" s="56" t="s">
        <v>1990</v>
      </c>
      <c r="E7" s="56" t="s">
        <v>1990</v>
      </c>
      <c r="F7" s="57" t="s">
        <v>1991</v>
      </c>
      <c r="G7" s="58" t="s">
        <v>1990</v>
      </c>
      <c r="H7" s="559" t="s">
        <v>1992</v>
      </c>
      <c r="I7" s="559"/>
      <c r="J7" s="559"/>
      <c r="K7" s="559"/>
      <c r="L7" s="559"/>
    </row>
    <row r="8" spans="1:17" x14ac:dyDescent="0.35">
      <c r="A8" s="60" t="s">
        <v>1990</v>
      </c>
      <c r="B8" s="61" t="s">
        <v>1993</v>
      </c>
      <c r="C8" s="61" t="s">
        <v>1994</v>
      </c>
      <c r="D8" s="61" t="s">
        <v>1995</v>
      </c>
      <c r="E8" s="61" t="s">
        <v>1996</v>
      </c>
      <c r="F8" s="61" t="s">
        <v>1997</v>
      </c>
      <c r="G8" s="58" t="s">
        <v>1990</v>
      </c>
      <c r="H8" s="62" t="s">
        <v>1998</v>
      </c>
      <c r="I8" s="59" t="s">
        <v>1999</v>
      </c>
      <c r="J8" s="59" t="s">
        <v>2000</v>
      </c>
      <c r="K8" s="59" t="s">
        <v>2001</v>
      </c>
      <c r="L8" s="59" t="s">
        <v>2002</v>
      </c>
    </row>
    <row r="9" spans="1:17" x14ac:dyDescent="0.35">
      <c r="A9" s="64" t="s">
        <v>2003</v>
      </c>
      <c r="B9" s="63">
        <v>52561949.970590003</v>
      </c>
      <c r="C9" s="63">
        <v>56318122.762999997</v>
      </c>
      <c r="D9" s="63">
        <v>59636286.225550003</v>
      </c>
      <c r="E9" s="63">
        <v>60919164.846150003</v>
      </c>
      <c r="F9" s="63">
        <v>59956247.196999997</v>
      </c>
      <c r="G9" s="58" t="s">
        <v>1990</v>
      </c>
      <c r="H9" s="65">
        <v>62010389.850769997</v>
      </c>
      <c r="I9" s="63">
        <v>65536815.883000001</v>
      </c>
      <c r="J9" s="63">
        <v>68569829.278669998</v>
      </c>
      <c r="K9" s="63">
        <v>71640200</v>
      </c>
      <c r="L9" s="63">
        <v>78505300</v>
      </c>
    </row>
    <row r="10" spans="1:17" x14ac:dyDescent="0.35">
      <c r="A10" s="64" t="s">
        <v>2004</v>
      </c>
      <c r="B10" s="63">
        <v>5114.2988800000003</v>
      </c>
      <c r="C10" s="63">
        <v>5995.8027099999999</v>
      </c>
      <c r="D10" s="63">
        <v>6658.49</v>
      </c>
      <c r="E10" s="63">
        <v>4618.5069999999996</v>
      </c>
      <c r="F10" s="63">
        <v>4629.62</v>
      </c>
      <c r="G10" s="58" t="s">
        <v>1990</v>
      </c>
      <c r="H10" s="65" t="s">
        <v>202</v>
      </c>
      <c r="I10" s="63" t="s">
        <v>202</v>
      </c>
      <c r="J10" s="63" t="s">
        <v>202</v>
      </c>
      <c r="K10" s="63" t="s">
        <v>202</v>
      </c>
      <c r="L10" s="63" t="s">
        <v>202</v>
      </c>
    </row>
    <row r="11" spans="1:17" x14ac:dyDescent="0.35">
      <c r="A11" s="64" t="s">
        <v>2005</v>
      </c>
      <c r="B11" s="63">
        <v>26271369.291930001</v>
      </c>
      <c r="C11" s="63">
        <v>29731255.204360001</v>
      </c>
      <c r="D11" s="63">
        <v>33647122.229819998</v>
      </c>
      <c r="E11" s="63">
        <v>35850114.24938</v>
      </c>
      <c r="F11" s="63">
        <v>32816518.35509</v>
      </c>
      <c r="G11" s="58" t="s">
        <v>1990</v>
      </c>
      <c r="H11" s="65">
        <v>33271300</v>
      </c>
      <c r="I11" s="63">
        <v>34610585.71429</v>
      </c>
      <c r="J11" s="63">
        <v>36479425</v>
      </c>
      <c r="K11" s="63" t="s">
        <v>202</v>
      </c>
      <c r="L11" s="63" t="s">
        <v>202</v>
      </c>
    </row>
    <row r="12" spans="1:17" x14ac:dyDescent="0.35">
      <c r="A12" s="64" t="s">
        <v>2006</v>
      </c>
      <c r="B12" s="63" t="s">
        <v>202</v>
      </c>
      <c r="C12" s="63" t="s">
        <v>202</v>
      </c>
      <c r="D12" s="63" t="s">
        <v>202</v>
      </c>
      <c r="E12" s="63" t="s">
        <v>202</v>
      </c>
      <c r="F12" s="63">
        <v>15702.01816</v>
      </c>
      <c r="G12" s="58" t="s">
        <v>1990</v>
      </c>
      <c r="H12" s="65" t="s">
        <v>202</v>
      </c>
      <c r="I12" s="63" t="s">
        <v>202</v>
      </c>
      <c r="J12" s="63" t="s">
        <v>202</v>
      </c>
      <c r="K12" s="63" t="s">
        <v>202</v>
      </c>
      <c r="L12" s="63" t="s">
        <v>202</v>
      </c>
    </row>
    <row r="13" spans="1:17" x14ac:dyDescent="0.35">
      <c r="A13" s="64" t="s">
        <v>2007</v>
      </c>
      <c r="B13" s="63">
        <v>-8920690.5478700008</v>
      </c>
      <c r="C13" s="63">
        <v>-9626484.7243300006</v>
      </c>
      <c r="D13" s="63">
        <v>-11941003.763280001</v>
      </c>
      <c r="E13" s="63">
        <v>-13916297.53571</v>
      </c>
      <c r="F13" s="63">
        <v>-14780840.292199999</v>
      </c>
      <c r="G13" s="58" t="s">
        <v>1990</v>
      </c>
      <c r="H13" s="65">
        <v>-12690338.349400001</v>
      </c>
      <c r="I13" s="63">
        <v>-13663751.3544</v>
      </c>
      <c r="J13" s="63">
        <v>-14885259.762669999</v>
      </c>
      <c r="K13" s="63" t="s">
        <v>202</v>
      </c>
      <c r="L13" s="63" t="s">
        <v>202</v>
      </c>
    </row>
    <row r="14" spans="1:17" x14ac:dyDescent="0.35">
      <c r="A14" s="64" t="s">
        <v>2008</v>
      </c>
      <c r="B14" s="63">
        <v>37366108.654179998</v>
      </c>
      <c r="C14" s="63">
        <v>44699873.386030003</v>
      </c>
      <c r="D14" s="63">
        <v>48432480.673629999</v>
      </c>
      <c r="E14" s="63">
        <v>53332403.438220002</v>
      </c>
      <c r="F14" s="63">
        <v>48482664.236220002</v>
      </c>
      <c r="G14" s="58" t="s">
        <v>1990</v>
      </c>
      <c r="H14" s="65">
        <v>49671165.666670002</v>
      </c>
      <c r="I14" s="63">
        <v>51486189.375</v>
      </c>
      <c r="J14" s="63">
        <v>52761525</v>
      </c>
      <c r="K14" s="63" t="s">
        <v>202</v>
      </c>
      <c r="L14" s="63" t="s">
        <v>202</v>
      </c>
    </row>
    <row r="15" spans="1:17" x14ac:dyDescent="0.35">
      <c r="A15" s="64" t="s">
        <v>2009</v>
      </c>
      <c r="B15" s="63" t="s">
        <v>202</v>
      </c>
      <c r="C15" s="63" t="s">
        <v>202</v>
      </c>
      <c r="D15" s="63" t="s">
        <v>202</v>
      </c>
      <c r="E15" s="63" t="s">
        <v>202</v>
      </c>
      <c r="F15" s="63">
        <v>4933158.5641000001</v>
      </c>
      <c r="G15" s="58" t="s">
        <v>1990</v>
      </c>
      <c r="H15" s="65" t="s">
        <v>202</v>
      </c>
      <c r="I15" s="63" t="s">
        <v>202</v>
      </c>
      <c r="J15" s="63" t="s">
        <v>202</v>
      </c>
      <c r="K15" s="63" t="s">
        <v>202</v>
      </c>
      <c r="L15" s="63" t="s">
        <v>202</v>
      </c>
    </row>
    <row r="16" spans="1:17" x14ac:dyDescent="0.35">
      <c r="A16" s="64" t="s">
        <v>2010</v>
      </c>
      <c r="B16" s="63" t="s">
        <v>202</v>
      </c>
      <c r="C16" s="63" t="s">
        <v>202</v>
      </c>
      <c r="D16" s="63" t="s">
        <v>202</v>
      </c>
      <c r="E16" s="63" t="s">
        <v>202</v>
      </c>
      <c r="F16" s="63" t="s">
        <v>202</v>
      </c>
      <c r="G16" s="58" t="s">
        <v>1990</v>
      </c>
      <c r="H16" s="65" t="s">
        <v>202</v>
      </c>
      <c r="I16" s="63" t="s">
        <v>202</v>
      </c>
      <c r="J16" s="63" t="s">
        <v>202</v>
      </c>
      <c r="K16" s="63" t="s">
        <v>202</v>
      </c>
      <c r="L16" s="63" t="s">
        <v>202</v>
      </c>
    </row>
    <row r="17" spans="1:12" x14ac:dyDescent="0.35">
      <c r="A17" s="64" t="s">
        <v>2011</v>
      </c>
      <c r="B17" s="63" t="s">
        <v>202</v>
      </c>
      <c r="C17" s="63" t="s">
        <v>202</v>
      </c>
      <c r="D17" s="63" t="s">
        <v>202</v>
      </c>
      <c r="E17" s="63" t="s">
        <v>202</v>
      </c>
      <c r="F17" s="63" t="s">
        <v>202</v>
      </c>
      <c r="G17" s="58" t="s">
        <v>1990</v>
      </c>
      <c r="H17" s="65" t="s">
        <v>202</v>
      </c>
      <c r="I17" s="63" t="s">
        <v>202</v>
      </c>
      <c r="J17" s="63" t="s">
        <v>202</v>
      </c>
      <c r="K17" s="63" t="s">
        <v>202</v>
      </c>
      <c r="L17" s="63" t="s">
        <v>202</v>
      </c>
    </row>
    <row r="18" spans="1:12" x14ac:dyDescent="0.35">
      <c r="A18" s="64" t="s">
        <v>2012</v>
      </c>
      <c r="B18" s="66">
        <v>0.28399999999999997</v>
      </c>
      <c r="C18" s="66">
        <v>0.24954999999999999</v>
      </c>
      <c r="D18" s="66">
        <v>0.23835000000000001</v>
      </c>
      <c r="E18" s="66">
        <v>0.20699999999999999</v>
      </c>
      <c r="F18" s="66">
        <v>0.1673</v>
      </c>
      <c r="G18" s="58" t="s">
        <v>1990</v>
      </c>
      <c r="H18" s="67">
        <v>0.1833333</v>
      </c>
      <c r="I18" s="66">
        <v>0.19750000000000001</v>
      </c>
      <c r="J18" s="66">
        <v>0.19899999999999998</v>
      </c>
      <c r="K18" s="66" t="s">
        <v>202</v>
      </c>
      <c r="L18" s="66" t="s">
        <v>202</v>
      </c>
    </row>
    <row r="19" spans="1:12" x14ac:dyDescent="0.35">
      <c r="A19" s="64" t="s">
        <v>2013</v>
      </c>
      <c r="B19" s="66">
        <v>0.41609999999999997</v>
      </c>
      <c r="C19" s="66">
        <v>0.38643</v>
      </c>
      <c r="D19" s="66">
        <v>0.37750999999999996</v>
      </c>
      <c r="E19" s="66">
        <v>0.32719000000000004</v>
      </c>
      <c r="F19" s="66">
        <v>0.27059</v>
      </c>
      <c r="G19" s="58" t="s">
        <v>1990</v>
      </c>
      <c r="H19" s="67">
        <v>0.27334829999999999</v>
      </c>
      <c r="I19" s="66">
        <v>0.29359550000000001</v>
      </c>
      <c r="J19" s="66">
        <v>0.31571670000000002</v>
      </c>
      <c r="K19" s="66">
        <v>0.33799999999999997</v>
      </c>
      <c r="L19" s="66" t="s">
        <v>202</v>
      </c>
    </row>
    <row r="20" spans="1:12" x14ac:dyDescent="0.35">
      <c r="A20" s="64" t="s">
        <v>2014</v>
      </c>
      <c r="B20" s="63">
        <v>4412.4983199999997</v>
      </c>
      <c r="C20" s="63">
        <v>4564.9982600000003</v>
      </c>
      <c r="D20" s="63">
        <v>4770</v>
      </c>
      <c r="E20" s="63">
        <v>4517</v>
      </c>
      <c r="F20" s="63">
        <v>3632</v>
      </c>
      <c r="G20" s="58" t="s">
        <v>1990</v>
      </c>
      <c r="H20" s="65">
        <v>3992.63492</v>
      </c>
      <c r="I20" s="63">
        <v>4442.8693599999997</v>
      </c>
      <c r="J20" s="63">
        <v>4712.2586700000002</v>
      </c>
      <c r="K20" s="63" t="s">
        <v>202</v>
      </c>
      <c r="L20" s="63" t="s">
        <v>202</v>
      </c>
    </row>
    <row r="21" spans="1:12" x14ac:dyDescent="0.35">
      <c r="A21" s="64" t="s">
        <v>2015</v>
      </c>
      <c r="B21" s="63">
        <v>12337.273380000001</v>
      </c>
      <c r="C21" s="63">
        <v>13162.01526</v>
      </c>
      <c r="D21" s="63">
        <v>14977.27009</v>
      </c>
      <c r="E21" s="63">
        <v>15829.65749</v>
      </c>
      <c r="F21" s="63">
        <v>14282.147199999999</v>
      </c>
      <c r="G21" s="58" t="s">
        <v>1990</v>
      </c>
      <c r="H21" s="65">
        <v>14849.04</v>
      </c>
      <c r="I21" s="63">
        <v>15429.12329</v>
      </c>
      <c r="J21" s="63">
        <v>16083.69375</v>
      </c>
      <c r="K21" s="63" t="s">
        <v>202</v>
      </c>
      <c r="L21" s="63" t="s">
        <v>202</v>
      </c>
    </row>
    <row r="22" spans="1:12" x14ac:dyDescent="0.35">
      <c r="A22" s="560" t="s">
        <v>1990</v>
      </c>
      <c r="B22" s="560"/>
      <c r="C22" s="560"/>
      <c r="D22" s="560"/>
      <c r="E22" s="560"/>
      <c r="F22" s="560"/>
      <c r="G22" s="560"/>
      <c r="H22" s="560"/>
      <c r="I22" s="560"/>
      <c r="J22" s="560"/>
      <c r="K22" s="560"/>
      <c r="L22" s="560"/>
    </row>
  </sheetData>
  <mergeCells count="4">
    <mergeCell ref="B1:G1"/>
    <mergeCell ref="B5:Q5"/>
    <mergeCell ref="H7:L7"/>
    <mergeCell ref="A22:L2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50C9-39F0-4589-90C1-D51524561246}">
  <dimension ref="A1:J19"/>
  <sheetViews>
    <sheetView workbookViewId="0">
      <selection activeCell="E12" sqref="E12"/>
    </sheetView>
  </sheetViews>
  <sheetFormatPr defaultRowHeight="14.5" x14ac:dyDescent="0.35"/>
  <cols>
    <col min="2" max="2" width="26.26953125" customWidth="1"/>
    <col min="3" max="3" width="31" bestFit="1" customWidth="1"/>
  </cols>
  <sheetData>
    <row r="1" spans="1:10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</row>
    <row r="7" spans="1:10" x14ac:dyDescent="0.35">
      <c r="A7" s="17" t="s">
        <v>177</v>
      </c>
      <c r="B7" s="18" t="s">
        <v>184</v>
      </c>
      <c r="C7" s="17" t="s">
        <v>2016</v>
      </c>
      <c r="D7" s="17" t="s">
        <v>1102</v>
      </c>
      <c r="E7" s="30">
        <v>52</v>
      </c>
      <c r="F7" s="30">
        <v>51.7</v>
      </c>
      <c r="G7" s="30">
        <v>50.7</v>
      </c>
      <c r="H7" s="30">
        <v>50.2</v>
      </c>
      <c r="I7" s="30">
        <v>49.5</v>
      </c>
      <c r="J7" s="30">
        <v>48.7</v>
      </c>
    </row>
    <row r="8" spans="1:10" x14ac:dyDescent="0.35">
      <c r="A8" s="17" t="s">
        <v>177</v>
      </c>
      <c r="B8" s="18" t="s">
        <v>184</v>
      </c>
      <c r="C8" s="17" t="s">
        <v>2017</v>
      </c>
      <c r="D8" s="17" t="s">
        <v>1102</v>
      </c>
      <c r="E8" s="30">
        <v>8.6</v>
      </c>
      <c r="F8" s="30">
        <v>8.5</v>
      </c>
      <c r="G8" s="30">
        <v>8.4</v>
      </c>
      <c r="H8" s="30">
        <v>8.1999999999999993</v>
      </c>
      <c r="I8" s="30">
        <v>7.9</v>
      </c>
      <c r="J8" s="30">
        <v>7.8</v>
      </c>
    </row>
    <row r="9" spans="1:10" x14ac:dyDescent="0.35">
      <c r="A9" s="17" t="s">
        <v>177</v>
      </c>
      <c r="B9" s="18" t="s">
        <v>184</v>
      </c>
      <c r="C9" s="17" t="s">
        <v>1525</v>
      </c>
      <c r="D9" s="17" t="s">
        <v>1102</v>
      </c>
      <c r="E9" s="30">
        <v>6</v>
      </c>
      <c r="F9" s="30">
        <v>5.8</v>
      </c>
      <c r="G9" s="30">
        <v>5.8</v>
      </c>
      <c r="H9" s="30">
        <v>5.7</v>
      </c>
      <c r="I9" s="30">
        <v>7.3</v>
      </c>
      <c r="J9" s="30">
        <v>7.5</v>
      </c>
    </row>
    <row r="10" spans="1:10" x14ac:dyDescent="0.35">
      <c r="A10" s="17" t="s">
        <v>177</v>
      </c>
      <c r="B10" s="18" t="s">
        <v>184</v>
      </c>
      <c r="C10" s="17" t="s">
        <v>1528</v>
      </c>
      <c r="D10" s="17" t="s">
        <v>1102</v>
      </c>
      <c r="E10" s="30">
        <v>6.4</v>
      </c>
      <c r="F10" s="30">
        <v>6.5</v>
      </c>
      <c r="G10" s="30">
        <v>6.7</v>
      </c>
      <c r="H10" s="30">
        <v>7</v>
      </c>
      <c r="I10" s="30">
        <v>5.6</v>
      </c>
      <c r="J10" s="30">
        <v>5.5</v>
      </c>
    </row>
    <row r="11" spans="1:10" x14ac:dyDescent="0.35">
      <c r="A11" s="17" t="s">
        <v>177</v>
      </c>
      <c r="B11" s="18" t="s">
        <v>184</v>
      </c>
      <c r="C11" s="17" t="s">
        <v>2018</v>
      </c>
      <c r="D11" s="17" t="s">
        <v>1102</v>
      </c>
      <c r="E11" s="30">
        <v>2.9</v>
      </c>
      <c r="F11" s="30">
        <v>2.9</v>
      </c>
      <c r="G11" s="30">
        <v>3.1</v>
      </c>
      <c r="H11" s="30">
        <v>3.1</v>
      </c>
      <c r="I11" s="30">
        <v>3.1</v>
      </c>
      <c r="J11" s="30">
        <v>3.1</v>
      </c>
    </row>
    <row r="12" spans="1:10" x14ac:dyDescent="0.35">
      <c r="A12" s="17" t="s">
        <v>177</v>
      </c>
      <c r="B12" s="18" t="s">
        <v>184</v>
      </c>
      <c r="C12" s="17" t="s">
        <v>1089</v>
      </c>
      <c r="D12" s="17" t="s">
        <v>1102</v>
      </c>
      <c r="E12" s="30" t="s">
        <v>202</v>
      </c>
      <c r="F12" s="30" t="s">
        <v>202</v>
      </c>
      <c r="G12" s="30" t="s">
        <v>202</v>
      </c>
      <c r="H12" s="30" t="s">
        <v>202</v>
      </c>
      <c r="I12" s="30" t="s">
        <v>202</v>
      </c>
      <c r="J12" s="30" t="s">
        <v>202</v>
      </c>
    </row>
    <row r="13" spans="1:10" x14ac:dyDescent="0.35">
      <c r="A13" s="17" t="s">
        <v>177</v>
      </c>
      <c r="B13" s="18" t="s">
        <v>184</v>
      </c>
      <c r="C13" s="17" t="s">
        <v>130</v>
      </c>
      <c r="D13" s="17" t="s">
        <v>1102</v>
      </c>
      <c r="E13" s="30">
        <v>24.1</v>
      </c>
      <c r="F13" s="30">
        <v>24.6</v>
      </c>
      <c r="G13" s="30">
        <v>25.3</v>
      </c>
      <c r="H13" s="30">
        <v>25.8</v>
      </c>
      <c r="I13" s="30">
        <v>26.6</v>
      </c>
      <c r="J13" s="30">
        <v>27.3</v>
      </c>
    </row>
    <row r="14" spans="1:10" x14ac:dyDescent="0.35">
      <c r="A14" s="17" t="s">
        <v>177</v>
      </c>
      <c r="B14" s="18" t="s">
        <v>184</v>
      </c>
      <c r="C14" s="17" t="s">
        <v>31</v>
      </c>
      <c r="D14" s="17" t="s">
        <v>1102</v>
      </c>
      <c r="E14" s="30">
        <v>100</v>
      </c>
      <c r="F14" s="30">
        <v>100</v>
      </c>
      <c r="G14" s="30">
        <v>100</v>
      </c>
      <c r="H14" s="30">
        <v>100</v>
      </c>
      <c r="I14" s="30">
        <v>100</v>
      </c>
      <c r="J14" s="30">
        <v>100</v>
      </c>
    </row>
    <row r="15" spans="1:10" x14ac:dyDescent="0.35">
      <c r="A15" s="33" t="s">
        <v>1093</v>
      </c>
      <c r="B15" s="27"/>
    </row>
    <row r="16" spans="1:10" x14ac:dyDescent="0.35">
      <c r="A16" s="28" t="s">
        <v>1094</v>
      </c>
      <c r="B16" s="27"/>
      <c r="C16" s="27"/>
      <c r="D16" s="27"/>
      <c r="E16" s="27"/>
      <c r="F16" s="27"/>
      <c r="G16" s="27"/>
      <c r="H16" s="27"/>
      <c r="I16" s="27"/>
      <c r="J16" s="27"/>
    </row>
    <row r="17" spans="1:10" x14ac:dyDescent="0.35">
      <c r="C17" s="27"/>
      <c r="D17" s="27"/>
      <c r="E17" s="27"/>
      <c r="F17" s="27"/>
      <c r="G17" s="27"/>
      <c r="H17" s="27"/>
      <c r="I17" s="27"/>
      <c r="J17" s="27"/>
    </row>
    <row r="18" spans="1:10" x14ac:dyDescent="0.35">
      <c r="A18" s="28" t="s">
        <v>2019</v>
      </c>
    </row>
    <row r="19" spans="1:10" x14ac:dyDescent="0.35">
      <c r="A19" s="28" t="s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686D-23B0-4DA7-8450-664D5B2433DA}">
  <dimension ref="A1:H32"/>
  <sheetViews>
    <sheetView topLeftCell="A11" zoomScale="55" zoomScaleNormal="55" workbookViewId="0">
      <selection activeCell="M39" sqref="M39"/>
    </sheetView>
  </sheetViews>
  <sheetFormatPr defaultRowHeight="14.5" x14ac:dyDescent="0.35"/>
  <cols>
    <col min="2" max="2" width="30.1796875" customWidth="1"/>
    <col min="3" max="3" width="25.1796875" customWidth="1"/>
  </cols>
  <sheetData>
    <row r="1" spans="1:8" x14ac:dyDescent="0.35">
      <c r="A1" s="14" t="s">
        <v>1081</v>
      </c>
      <c r="B1" s="15"/>
      <c r="C1" s="15"/>
      <c r="D1" s="15"/>
      <c r="E1" s="15"/>
      <c r="F1" s="15"/>
      <c r="G1" s="15"/>
      <c r="H1" s="15"/>
    </row>
    <row r="2" spans="1:8" x14ac:dyDescent="0.35">
      <c r="A2" s="1" t="s">
        <v>173</v>
      </c>
      <c r="B2" s="1" t="s">
        <v>174</v>
      </c>
      <c r="C2" s="1" t="s">
        <v>1082</v>
      </c>
      <c r="D2" s="1" t="s">
        <v>1084</v>
      </c>
      <c r="E2" s="1" t="s">
        <v>1085</v>
      </c>
      <c r="F2" s="1" t="s">
        <v>1086</v>
      </c>
      <c r="G2" s="1" t="s">
        <v>1087</v>
      </c>
      <c r="H2" s="1" t="s">
        <v>1088</v>
      </c>
    </row>
    <row r="3" spans="1:8" x14ac:dyDescent="0.35">
      <c r="A3" s="17" t="s">
        <v>177</v>
      </c>
      <c r="B3" s="18" t="s">
        <v>180</v>
      </c>
      <c r="C3" s="22" t="s">
        <v>1089</v>
      </c>
      <c r="D3" s="23">
        <v>48</v>
      </c>
      <c r="E3" s="23">
        <v>48.3</v>
      </c>
      <c r="F3" s="23">
        <v>47.9</v>
      </c>
      <c r="G3" s="23">
        <v>46.1</v>
      </c>
      <c r="H3" s="23">
        <v>44.8</v>
      </c>
    </row>
    <row r="4" spans="1:8" x14ac:dyDescent="0.35">
      <c r="A4" s="17" t="s">
        <v>177</v>
      </c>
      <c r="B4" s="18" t="s">
        <v>180</v>
      </c>
      <c r="C4" s="22" t="s">
        <v>1501</v>
      </c>
      <c r="D4" s="23">
        <v>13.9</v>
      </c>
      <c r="E4" s="23">
        <v>14.3</v>
      </c>
      <c r="F4" s="23">
        <v>14.8</v>
      </c>
      <c r="G4" s="23">
        <v>15.1</v>
      </c>
      <c r="H4" s="23">
        <v>15.1</v>
      </c>
    </row>
    <row r="5" spans="1:8" x14ac:dyDescent="0.35">
      <c r="A5" s="17" t="s">
        <v>177</v>
      </c>
      <c r="B5" s="18" t="s">
        <v>180</v>
      </c>
      <c r="C5" s="22" t="s">
        <v>1090</v>
      </c>
      <c r="D5" s="23">
        <v>13.6</v>
      </c>
      <c r="E5" s="23">
        <v>11.4</v>
      </c>
      <c r="F5" s="23">
        <v>10.4</v>
      </c>
      <c r="G5" s="23">
        <v>10.4</v>
      </c>
      <c r="H5" s="23">
        <v>10.199999999999999</v>
      </c>
    </row>
    <row r="6" spans="1:8" x14ac:dyDescent="0.35">
      <c r="A6" s="17" t="s">
        <v>177</v>
      </c>
      <c r="B6" s="18" t="s">
        <v>180</v>
      </c>
      <c r="C6" s="22" t="s">
        <v>1091</v>
      </c>
      <c r="D6" s="23">
        <v>7.9</v>
      </c>
      <c r="E6" s="23">
        <v>8.1999999999999993</v>
      </c>
      <c r="F6" s="23">
        <v>8.3000000000000007</v>
      </c>
      <c r="G6" s="23">
        <v>8.4</v>
      </c>
      <c r="H6" s="23">
        <v>8.4</v>
      </c>
    </row>
    <row r="7" spans="1:8" x14ac:dyDescent="0.35">
      <c r="A7" s="17" t="s">
        <v>177</v>
      </c>
      <c r="B7" s="18" t="s">
        <v>180</v>
      </c>
      <c r="C7" s="22" t="s">
        <v>1503</v>
      </c>
      <c r="D7" s="23">
        <v>2.5</v>
      </c>
      <c r="E7" s="23">
        <v>3.2</v>
      </c>
      <c r="F7" s="23">
        <v>3.7</v>
      </c>
      <c r="G7" s="23">
        <v>4.5</v>
      </c>
      <c r="H7" s="23">
        <v>5.4</v>
      </c>
    </row>
    <row r="8" spans="1:8" x14ac:dyDescent="0.35">
      <c r="A8" s="17" t="s">
        <v>177</v>
      </c>
      <c r="B8" s="18" t="s">
        <v>180</v>
      </c>
      <c r="C8" s="22" t="s">
        <v>1532</v>
      </c>
      <c r="D8" s="23">
        <v>3.8</v>
      </c>
      <c r="E8" s="23">
        <v>4.0999999999999996</v>
      </c>
      <c r="F8" s="23">
        <v>4.2</v>
      </c>
      <c r="G8" s="23">
        <v>4.5999999999999996</v>
      </c>
      <c r="H8" s="23">
        <v>4.9000000000000004</v>
      </c>
    </row>
    <row r="9" spans="1:8" x14ac:dyDescent="0.35">
      <c r="A9" s="17" t="s">
        <v>177</v>
      </c>
      <c r="B9" s="18" t="s">
        <v>180</v>
      </c>
      <c r="C9" s="22" t="s">
        <v>1533</v>
      </c>
      <c r="D9" s="23">
        <f>1+SUM(D10:D21)</f>
        <v>10.3</v>
      </c>
      <c r="E9" s="23">
        <f t="shared" ref="E9:H9" si="0">1+SUM(E10:E21)</f>
        <v>10.3</v>
      </c>
      <c r="F9" s="23">
        <f t="shared" si="0"/>
        <v>10.600000000000001</v>
      </c>
      <c r="G9" s="23">
        <f t="shared" si="0"/>
        <v>10.9</v>
      </c>
      <c r="H9" s="23">
        <f t="shared" si="0"/>
        <v>10.8</v>
      </c>
    </row>
    <row r="10" spans="1:8" x14ac:dyDescent="0.35">
      <c r="A10" s="17" t="s">
        <v>177</v>
      </c>
      <c r="B10" s="18" t="s">
        <v>180</v>
      </c>
      <c r="C10" s="17" t="s">
        <v>1092</v>
      </c>
      <c r="D10" s="5">
        <v>1.1000000000000001</v>
      </c>
      <c r="E10" s="5">
        <v>1.1000000000000001</v>
      </c>
      <c r="F10" s="5">
        <v>1.1000000000000001</v>
      </c>
      <c r="G10" s="5">
        <v>1.1000000000000001</v>
      </c>
      <c r="H10" s="5">
        <v>1</v>
      </c>
    </row>
    <row r="11" spans="1:8" x14ac:dyDescent="0.35">
      <c r="A11" s="17" t="s">
        <v>177</v>
      </c>
      <c r="B11" s="18" t="s">
        <v>180</v>
      </c>
      <c r="C11" s="17" t="s">
        <v>1534</v>
      </c>
      <c r="D11" s="5">
        <v>0.7</v>
      </c>
      <c r="E11" s="5">
        <v>0.7</v>
      </c>
      <c r="F11" s="5">
        <v>0.7</v>
      </c>
      <c r="G11" s="5">
        <v>0.8</v>
      </c>
      <c r="H11" s="5">
        <v>0.8</v>
      </c>
    </row>
    <row r="12" spans="1:8" x14ac:dyDescent="0.35">
      <c r="A12" s="17" t="s">
        <v>177</v>
      </c>
      <c r="B12" s="18" t="s">
        <v>180</v>
      </c>
      <c r="C12" s="17" t="s">
        <v>1528</v>
      </c>
      <c r="D12" s="5">
        <v>0.9</v>
      </c>
      <c r="E12" s="5">
        <v>0.8</v>
      </c>
      <c r="F12" s="5">
        <v>0.6</v>
      </c>
      <c r="G12" s="5">
        <v>0.6</v>
      </c>
      <c r="H12" s="5">
        <v>0.6</v>
      </c>
    </row>
    <row r="13" spans="1:8" x14ac:dyDescent="0.35">
      <c r="A13" s="17" t="s">
        <v>177</v>
      </c>
      <c r="B13" s="18" t="s">
        <v>180</v>
      </c>
      <c r="C13" s="17" t="s">
        <v>1535</v>
      </c>
      <c r="D13" s="5">
        <v>0.7</v>
      </c>
      <c r="E13" s="5">
        <v>0.6</v>
      </c>
      <c r="F13" s="5">
        <v>0.5</v>
      </c>
      <c r="G13" s="5">
        <v>0.5</v>
      </c>
      <c r="H13" s="5">
        <v>0.5</v>
      </c>
    </row>
    <row r="14" spans="1:8" x14ac:dyDescent="0.35">
      <c r="A14" s="17" t="s">
        <v>177</v>
      </c>
      <c r="B14" s="18" t="s">
        <v>180</v>
      </c>
      <c r="C14" s="17" t="s">
        <v>1536</v>
      </c>
      <c r="D14" s="5">
        <v>0.6</v>
      </c>
      <c r="E14" s="5">
        <v>0.5</v>
      </c>
      <c r="F14" s="5">
        <v>0.5</v>
      </c>
      <c r="G14" s="5">
        <v>0.5</v>
      </c>
      <c r="H14" s="5">
        <v>0.5</v>
      </c>
    </row>
    <row r="15" spans="1:8" x14ac:dyDescent="0.35">
      <c r="A15" s="17" t="s">
        <v>177</v>
      </c>
      <c r="B15" s="18" t="s">
        <v>180</v>
      </c>
      <c r="C15" s="17" t="s">
        <v>1537</v>
      </c>
      <c r="D15" s="5">
        <v>0.4</v>
      </c>
      <c r="E15" s="5">
        <v>0.4</v>
      </c>
      <c r="F15" s="5">
        <v>0.4</v>
      </c>
      <c r="G15" s="5">
        <v>0.5</v>
      </c>
      <c r="H15" s="5">
        <v>0.5</v>
      </c>
    </row>
    <row r="16" spans="1:8" x14ac:dyDescent="0.35">
      <c r="A16" s="17" t="s">
        <v>177</v>
      </c>
      <c r="B16" s="18" t="s">
        <v>180</v>
      </c>
      <c r="C16" s="17" t="s">
        <v>1538</v>
      </c>
      <c r="D16" s="5">
        <v>0.3</v>
      </c>
      <c r="E16" s="5">
        <v>0.4</v>
      </c>
      <c r="F16" s="5">
        <v>0.4</v>
      </c>
      <c r="G16" s="5">
        <v>0.4</v>
      </c>
      <c r="H16" s="5">
        <v>0.4</v>
      </c>
    </row>
    <row r="17" spans="1:8" x14ac:dyDescent="0.35">
      <c r="A17" s="17" t="s">
        <v>177</v>
      </c>
      <c r="B17" s="18" t="s">
        <v>180</v>
      </c>
      <c r="C17" s="17" t="s">
        <v>1539</v>
      </c>
      <c r="D17" s="5">
        <v>0.3</v>
      </c>
      <c r="E17" s="5">
        <v>0.3</v>
      </c>
      <c r="F17" s="5">
        <v>0.4</v>
      </c>
      <c r="G17" s="5">
        <v>0.4</v>
      </c>
      <c r="H17" s="5">
        <v>0.4</v>
      </c>
    </row>
    <row r="18" spans="1:8" x14ac:dyDescent="0.35">
      <c r="A18" s="17" t="s">
        <v>177</v>
      </c>
      <c r="B18" s="18" t="s">
        <v>180</v>
      </c>
      <c r="C18" s="17" t="s">
        <v>1540</v>
      </c>
      <c r="D18" s="5">
        <v>0.1</v>
      </c>
      <c r="E18" s="5">
        <v>0.1</v>
      </c>
      <c r="F18" s="5">
        <v>0.1</v>
      </c>
      <c r="G18" s="5">
        <v>0.1</v>
      </c>
      <c r="H18" s="5">
        <v>0.1</v>
      </c>
    </row>
    <row r="19" spans="1:8" x14ac:dyDescent="0.35">
      <c r="A19" s="17" t="s">
        <v>177</v>
      </c>
      <c r="B19" s="18" t="s">
        <v>180</v>
      </c>
      <c r="C19" s="17" t="s">
        <v>1541</v>
      </c>
      <c r="D19" s="20" t="s">
        <v>202</v>
      </c>
      <c r="E19" s="20" t="s">
        <v>202</v>
      </c>
      <c r="F19" s="20" t="s">
        <v>202</v>
      </c>
      <c r="G19" s="20" t="s">
        <v>202</v>
      </c>
      <c r="H19" s="20" t="s">
        <v>202</v>
      </c>
    </row>
    <row r="20" spans="1:8" x14ac:dyDescent="0.35">
      <c r="A20" s="17" t="s">
        <v>177</v>
      </c>
      <c r="B20" s="18" t="s">
        <v>180</v>
      </c>
      <c r="C20" s="17" t="s">
        <v>1542</v>
      </c>
      <c r="D20" s="20" t="s">
        <v>202</v>
      </c>
      <c r="E20" s="20" t="s">
        <v>202</v>
      </c>
      <c r="F20" s="20" t="s">
        <v>202</v>
      </c>
      <c r="G20" s="20" t="s">
        <v>202</v>
      </c>
      <c r="H20" s="20" t="s">
        <v>202</v>
      </c>
    </row>
    <row r="21" spans="1:8" x14ac:dyDescent="0.35">
      <c r="A21" s="17" t="s">
        <v>177</v>
      </c>
      <c r="B21" s="18" t="s">
        <v>180</v>
      </c>
      <c r="C21" s="17" t="s">
        <v>130</v>
      </c>
      <c r="D21" s="5">
        <v>4.2</v>
      </c>
      <c r="E21" s="5">
        <v>4.4000000000000004</v>
      </c>
      <c r="F21" s="5">
        <v>4.9000000000000004</v>
      </c>
      <c r="G21" s="5">
        <v>5</v>
      </c>
      <c r="H21" s="5">
        <v>5</v>
      </c>
    </row>
    <row r="22" spans="1:8" x14ac:dyDescent="0.35">
      <c r="A22" s="17" t="s">
        <v>177</v>
      </c>
      <c r="B22" s="18" t="s">
        <v>180</v>
      </c>
      <c r="C22" s="17" t="s">
        <v>31</v>
      </c>
      <c r="D22" s="5">
        <v>100</v>
      </c>
      <c r="E22" s="5">
        <v>100</v>
      </c>
      <c r="F22" s="5">
        <v>100</v>
      </c>
      <c r="G22" s="5">
        <v>100</v>
      </c>
      <c r="H22" s="5">
        <v>100</v>
      </c>
    </row>
    <row r="30" spans="1:8" x14ac:dyDescent="0.35">
      <c r="H30" t="s">
        <v>23</v>
      </c>
    </row>
    <row r="32" spans="1:8" x14ac:dyDescent="0.35">
      <c r="G32" t="s">
        <v>23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278-650B-4E8C-A0AD-6D70F3B7F8EC}">
  <dimension ref="A1:U75"/>
  <sheetViews>
    <sheetView zoomScale="130" zoomScaleNormal="130" workbookViewId="0">
      <selection activeCell="L79" sqref="L79"/>
    </sheetView>
  </sheetViews>
  <sheetFormatPr defaultRowHeight="14.5" x14ac:dyDescent="0.35"/>
  <sheetData>
    <row r="1" spans="1:21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21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2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</row>
    <row r="4" spans="1:2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</row>
    <row r="5" spans="1:21" x14ac:dyDescent="0.35">
      <c r="A5" s="31" t="s">
        <v>1081</v>
      </c>
      <c r="B5" s="28"/>
      <c r="C5" s="28"/>
      <c r="D5" s="28"/>
      <c r="E5" s="28"/>
      <c r="F5" s="28"/>
      <c r="G5" s="28"/>
      <c r="H5" s="28"/>
      <c r="I5" s="28"/>
      <c r="J5" s="28"/>
    </row>
    <row r="6" spans="1:21" x14ac:dyDescent="0.35">
      <c r="A6" s="1" t="s">
        <v>173</v>
      </c>
      <c r="B6" s="1" t="s">
        <v>174</v>
      </c>
      <c r="C6" s="1" t="s">
        <v>1082</v>
      </c>
      <c r="D6" s="1" t="s">
        <v>1098</v>
      </c>
      <c r="E6" s="1" t="s">
        <v>1083</v>
      </c>
      <c r="F6" s="1" t="s">
        <v>1084</v>
      </c>
      <c r="G6" s="1" t="s">
        <v>1085</v>
      </c>
      <c r="H6" s="1" t="s">
        <v>1086</v>
      </c>
      <c r="I6" s="1" t="s">
        <v>1087</v>
      </c>
      <c r="J6" s="1" t="s">
        <v>1088</v>
      </c>
      <c r="L6" s="1" t="s">
        <v>1082</v>
      </c>
      <c r="M6" s="1">
        <v>2018</v>
      </c>
      <c r="N6" s="1">
        <v>2019</v>
      </c>
      <c r="O6" s="1">
        <v>2020</v>
      </c>
      <c r="P6" s="1">
        <v>2021</v>
      </c>
      <c r="Q6" s="1">
        <v>2022</v>
      </c>
      <c r="T6" t="s">
        <v>1082</v>
      </c>
      <c r="U6" t="s">
        <v>1088</v>
      </c>
    </row>
    <row r="7" spans="1:21" x14ac:dyDescent="0.35">
      <c r="A7" s="17" t="s">
        <v>177</v>
      </c>
      <c r="B7" s="18" t="s">
        <v>182</v>
      </c>
      <c r="C7" s="17" t="s">
        <v>1089</v>
      </c>
      <c r="D7" s="17" t="s">
        <v>1102</v>
      </c>
      <c r="E7" s="30">
        <v>66.8</v>
      </c>
      <c r="F7" s="30">
        <v>66</v>
      </c>
      <c r="G7" s="30">
        <v>65.8</v>
      </c>
      <c r="H7" s="30">
        <v>65.5</v>
      </c>
      <c r="I7" s="30">
        <v>63.6</v>
      </c>
      <c r="J7" s="30">
        <v>62.5</v>
      </c>
      <c r="L7" s="17" t="s">
        <v>1089</v>
      </c>
      <c r="M7" s="85">
        <v>66.8</v>
      </c>
      <c r="N7" s="85">
        <v>66</v>
      </c>
      <c r="O7" s="85">
        <v>65.8</v>
      </c>
      <c r="P7" s="85">
        <v>65.5</v>
      </c>
      <c r="Q7" s="85">
        <v>63.6</v>
      </c>
      <c r="T7" t="s">
        <v>1089</v>
      </c>
      <c r="U7">
        <v>62.5</v>
      </c>
    </row>
    <row r="8" spans="1:21" x14ac:dyDescent="0.35">
      <c r="A8" s="17" t="s">
        <v>177</v>
      </c>
      <c r="B8" s="18" t="s">
        <v>182</v>
      </c>
      <c r="C8" s="17" t="s">
        <v>1090</v>
      </c>
      <c r="D8" s="17" t="s">
        <v>1102</v>
      </c>
      <c r="E8" s="30">
        <v>14.5</v>
      </c>
      <c r="F8" s="30">
        <v>13.8</v>
      </c>
      <c r="G8" s="30">
        <v>12.8</v>
      </c>
      <c r="H8" s="30">
        <v>12.2</v>
      </c>
      <c r="I8" s="30">
        <v>11.9</v>
      </c>
      <c r="J8" s="30">
        <v>11.8</v>
      </c>
      <c r="L8" s="17" t="s">
        <v>1090</v>
      </c>
      <c r="M8" s="85">
        <v>14.5</v>
      </c>
      <c r="N8" s="85">
        <v>13.8</v>
      </c>
      <c r="O8" s="85">
        <v>12.8</v>
      </c>
      <c r="P8" s="85">
        <v>12.2</v>
      </c>
      <c r="Q8" s="85">
        <v>11.9</v>
      </c>
      <c r="T8" t="s">
        <v>1090</v>
      </c>
      <c r="U8">
        <v>11.8</v>
      </c>
    </row>
    <row r="9" spans="1:21" x14ac:dyDescent="0.35">
      <c r="A9" s="17" t="s">
        <v>177</v>
      </c>
      <c r="B9" s="18" t="s">
        <v>182</v>
      </c>
      <c r="C9" s="17" t="s">
        <v>1500</v>
      </c>
      <c r="D9" s="17" t="s">
        <v>1102</v>
      </c>
      <c r="E9" s="30">
        <v>3.5</v>
      </c>
      <c r="F9" s="30">
        <v>3.9</v>
      </c>
      <c r="G9" s="30">
        <v>4.4000000000000004</v>
      </c>
      <c r="H9" s="30">
        <v>5.6</v>
      </c>
      <c r="I9" s="30">
        <v>6.9</v>
      </c>
      <c r="J9" s="30">
        <v>7.5</v>
      </c>
      <c r="L9" s="17" t="s">
        <v>1500</v>
      </c>
      <c r="M9" s="85">
        <v>3.5</v>
      </c>
      <c r="N9" s="85">
        <v>3.9</v>
      </c>
      <c r="O9" s="85">
        <v>4.4000000000000004</v>
      </c>
      <c r="P9" s="85">
        <v>5.6</v>
      </c>
      <c r="Q9" s="85">
        <v>6.9</v>
      </c>
      <c r="T9" t="s">
        <v>1500</v>
      </c>
      <c r="U9">
        <v>7.5</v>
      </c>
    </row>
    <row r="10" spans="1:21" x14ac:dyDescent="0.35">
      <c r="A10" s="17" t="s">
        <v>177</v>
      </c>
      <c r="B10" s="18" t="s">
        <v>182</v>
      </c>
      <c r="C10" s="17" t="s">
        <v>1501</v>
      </c>
      <c r="D10" s="17" t="s">
        <v>1102</v>
      </c>
      <c r="E10" s="30">
        <v>5</v>
      </c>
      <c r="F10" s="30">
        <v>5.3</v>
      </c>
      <c r="G10" s="30">
        <v>5.6</v>
      </c>
      <c r="H10" s="30">
        <v>5.8</v>
      </c>
      <c r="I10" s="30">
        <v>6.8</v>
      </c>
      <c r="J10" s="30">
        <v>7.3</v>
      </c>
      <c r="L10" s="17" t="s">
        <v>1501</v>
      </c>
      <c r="M10" s="85">
        <v>5</v>
      </c>
      <c r="N10" s="85">
        <v>5.3</v>
      </c>
      <c r="O10" s="85">
        <v>5.6</v>
      </c>
      <c r="P10" s="85">
        <v>5.8</v>
      </c>
      <c r="Q10" s="85">
        <v>6.8</v>
      </c>
      <c r="T10" t="s">
        <v>1501</v>
      </c>
      <c r="U10">
        <v>7.3</v>
      </c>
    </row>
    <row r="11" spans="1:21" x14ac:dyDescent="0.35">
      <c r="A11" s="17" t="s">
        <v>177</v>
      </c>
      <c r="B11" s="18" t="s">
        <v>182</v>
      </c>
      <c r="C11" s="17" t="s">
        <v>1503</v>
      </c>
      <c r="D11" s="17" t="s">
        <v>1102</v>
      </c>
      <c r="E11" s="30">
        <v>4.2</v>
      </c>
      <c r="F11" s="30">
        <v>3.9</v>
      </c>
      <c r="G11" s="30">
        <v>3.9</v>
      </c>
      <c r="H11" s="30">
        <v>4</v>
      </c>
      <c r="I11" s="30">
        <v>4.2</v>
      </c>
      <c r="J11" s="30">
        <v>4.3</v>
      </c>
      <c r="L11" s="17" t="s">
        <v>1503</v>
      </c>
      <c r="M11" s="85">
        <v>4.2</v>
      </c>
      <c r="N11" s="85">
        <v>3.9</v>
      </c>
      <c r="O11" s="85">
        <v>3.9</v>
      </c>
      <c r="P11" s="85">
        <v>4</v>
      </c>
      <c r="Q11" s="85">
        <v>4.2</v>
      </c>
      <c r="T11" t="s">
        <v>130</v>
      </c>
      <c r="U11">
        <v>10.9</v>
      </c>
    </row>
    <row r="12" spans="1:21" x14ac:dyDescent="0.35">
      <c r="A12" s="17" t="s">
        <v>177</v>
      </c>
      <c r="B12" s="18" t="s">
        <v>182</v>
      </c>
      <c r="C12" s="17" t="s">
        <v>1092</v>
      </c>
      <c r="D12" s="17" t="s">
        <v>1102</v>
      </c>
      <c r="E12" s="30">
        <v>2</v>
      </c>
      <c r="F12" s="30">
        <v>2.2000000000000002</v>
      </c>
      <c r="G12" s="30">
        <v>2.5</v>
      </c>
      <c r="H12" s="30">
        <v>2.5</v>
      </c>
      <c r="I12" s="30">
        <v>2.6</v>
      </c>
      <c r="J12" s="30">
        <v>2.7</v>
      </c>
      <c r="L12" s="17" t="s">
        <v>1092</v>
      </c>
      <c r="M12" s="85">
        <v>2</v>
      </c>
      <c r="N12" s="85">
        <v>2.2000000000000002</v>
      </c>
      <c r="O12" s="85">
        <v>2.5</v>
      </c>
      <c r="P12" s="85">
        <v>2.5</v>
      </c>
      <c r="Q12" s="85">
        <v>2.6</v>
      </c>
      <c r="T12" t="s">
        <v>1092</v>
      </c>
      <c r="U12">
        <v>2.7</v>
      </c>
    </row>
    <row r="13" spans="1:21" x14ac:dyDescent="0.35">
      <c r="A13" s="17" t="s">
        <v>177</v>
      </c>
      <c r="B13" s="18" t="s">
        <v>182</v>
      </c>
      <c r="C13" s="17" t="s">
        <v>1506</v>
      </c>
      <c r="D13" s="17" t="s">
        <v>1102</v>
      </c>
      <c r="E13" s="20" t="s">
        <v>202</v>
      </c>
      <c r="F13" s="20" t="s">
        <v>202</v>
      </c>
      <c r="G13" s="20" t="s">
        <v>202</v>
      </c>
      <c r="H13" s="20" t="s">
        <v>202</v>
      </c>
      <c r="I13" s="20" t="s">
        <v>202</v>
      </c>
      <c r="J13" s="20" t="s">
        <v>202</v>
      </c>
      <c r="L13" s="17" t="s">
        <v>130</v>
      </c>
      <c r="M13" s="85">
        <v>3.9</v>
      </c>
      <c r="N13" s="85">
        <v>4.9000000000000004</v>
      </c>
      <c r="O13" s="85">
        <v>4.9000000000000004</v>
      </c>
      <c r="P13" s="85">
        <v>4.3</v>
      </c>
      <c r="Q13" s="85">
        <v>4</v>
      </c>
      <c r="R13" s="37">
        <v>100</v>
      </c>
      <c r="T13" t="s">
        <v>130</v>
      </c>
      <c r="U13">
        <v>3.9</v>
      </c>
    </row>
    <row r="14" spans="1:21" x14ac:dyDescent="0.35">
      <c r="A14" s="17" t="s">
        <v>177</v>
      </c>
      <c r="B14" s="18" t="s">
        <v>182</v>
      </c>
      <c r="C14" s="17" t="s">
        <v>1507</v>
      </c>
      <c r="D14" s="17" t="s">
        <v>1102</v>
      </c>
      <c r="E14" s="20" t="s">
        <v>202</v>
      </c>
      <c r="F14" s="20" t="s">
        <v>202</v>
      </c>
      <c r="G14" s="20" t="s">
        <v>202</v>
      </c>
      <c r="H14" s="20" t="s">
        <v>202</v>
      </c>
      <c r="I14" s="20" t="s">
        <v>202</v>
      </c>
      <c r="J14" s="20" t="s">
        <v>202</v>
      </c>
      <c r="L14" s="17" t="s">
        <v>31</v>
      </c>
      <c r="M14" s="17"/>
      <c r="N14" s="85" t="s">
        <v>202</v>
      </c>
      <c r="O14" s="85" t="s">
        <v>202</v>
      </c>
      <c r="P14" s="85" t="s">
        <v>202</v>
      </c>
      <c r="Q14" s="85" t="s">
        <v>202</v>
      </c>
    </row>
    <row r="15" spans="1:21" x14ac:dyDescent="0.35">
      <c r="A15" s="17" t="s">
        <v>177</v>
      </c>
      <c r="B15" s="18" t="s">
        <v>182</v>
      </c>
      <c r="C15" s="17" t="s">
        <v>130</v>
      </c>
      <c r="D15" s="17" t="s">
        <v>1102</v>
      </c>
      <c r="E15" s="30">
        <v>3.9</v>
      </c>
      <c r="F15" s="30">
        <v>4.9000000000000004</v>
      </c>
      <c r="G15" s="30">
        <v>4.9000000000000004</v>
      </c>
      <c r="H15" s="30">
        <v>4.3</v>
      </c>
      <c r="I15" s="30">
        <v>4</v>
      </c>
      <c r="J15" s="30">
        <v>3.9</v>
      </c>
    </row>
    <row r="16" spans="1:21" x14ac:dyDescent="0.35">
      <c r="A16" s="17" t="s">
        <v>177</v>
      </c>
      <c r="B16" s="18" t="s">
        <v>182</v>
      </c>
      <c r="C16" s="17" t="s">
        <v>31</v>
      </c>
      <c r="D16" s="17" t="s">
        <v>1102</v>
      </c>
      <c r="E16" s="30">
        <v>100</v>
      </c>
      <c r="F16" s="30">
        <v>100</v>
      </c>
      <c r="G16" s="30">
        <v>100</v>
      </c>
      <c r="H16" s="30">
        <v>100</v>
      </c>
      <c r="I16" s="30">
        <v>100</v>
      </c>
      <c r="J16" s="30">
        <v>100</v>
      </c>
    </row>
    <row r="17" spans="1:21" x14ac:dyDescent="0.35">
      <c r="Q17" s="1" t="s">
        <v>1084</v>
      </c>
      <c r="R17" s="1" t="s">
        <v>1085</v>
      </c>
      <c r="S17" s="1" t="s">
        <v>1086</v>
      </c>
      <c r="T17" s="1" t="s">
        <v>1087</v>
      </c>
      <c r="U17" s="1" t="s">
        <v>1088</v>
      </c>
    </row>
    <row r="18" spans="1:21" x14ac:dyDescent="0.35">
      <c r="A18" s="33" t="s">
        <v>1093</v>
      </c>
      <c r="L18" s="17" t="s">
        <v>1089</v>
      </c>
      <c r="M18" s="17"/>
      <c r="N18" s="17"/>
      <c r="O18" s="17"/>
      <c r="P18" s="17"/>
      <c r="Q18" s="30">
        <v>66</v>
      </c>
      <c r="R18" s="30">
        <v>65.8</v>
      </c>
      <c r="S18" s="30">
        <v>65.5</v>
      </c>
      <c r="T18" s="30">
        <v>63.6</v>
      </c>
      <c r="U18" s="30">
        <v>62.5</v>
      </c>
    </row>
    <row r="19" spans="1:21" x14ac:dyDescent="0.35">
      <c r="A19" s="28" t="s">
        <v>1094</v>
      </c>
    </row>
    <row r="21" spans="1:21" x14ac:dyDescent="0.35">
      <c r="A21" s="28" t="s">
        <v>1509</v>
      </c>
    </row>
    <row r="22" spans="1:21" x14ac:dyDescent="0.35">
      <c r="A22" s="28" t="s">
        <v>1096</v>
      </c>
    </row>
    <row r="25" spans="1:21" x14ac:dyDescent="0.35">
      <c r="A25" s="31"/>
      <c r="B25" s="31"/>
      <c r="C25" s="31"/>
      <c r="D25" s="31"/>
      <c r="E25" s="31"/>
      <c r="F25" s="31"/>
      <c r="G25" s="31"/>
      <c r="H25" s="31"/>
    </row>
    <row r="26" spans="1:21" x14ac:dyDescent="0.35">
      <c r="A26" s="32"/>
      <c r="B26" s="32"/>
      <c r="C26" s="32"/>
      <c r="D26" s="32"/>
      <c r="E26" s="32"/>
      <c r="F26" s="32"/>
      <c r="G26" s="32"/>
      <c r="H26" s="32"/>
    </row>
    <row r="27" spans="1:21" x14ac:dyDescent="0.35">
      <c r="A27" s="31"/>
      <c r="B27" s="31"/>
      <c r="C27" s="31"/>
      <c r="D27" s="31"/>
      <c r="E27" s="31"/>
      <c r="F27" s="31"/>
      <c r="G27" s="31"/>
      <c r="H27" s="31"/>
    </row>
    <row r="28" spans="1:21" x14ac:dyDescent="0.35">
      <c r="A28" s="31"/>
      <c r="B28" s="31"/>
      <c r="C28" s="31"/>
      <c r="D28" s="31"/>
      <c r="E28" s="31"/>
      <c r="F28" s="31"/>
      <c r="G28" s="31"/>
      <c r="H28" s="31"/>
    </row>
    <row r="29" spans="1:21" x14ac:dyDescent="0.35">
      <c r="A29" s="31" t="s">
        <v>1097</v>
      </c>
      <c r="B29" s="28"/>
      <c r="C29" s="28"/>
      <c r="D29" s="28"/>
      <c r="E29" s="28"/>
      <c r="F29" s="28"/>
      <c r="G29" s="28"/>
      <c r="H29" s="28"/>
    </row>
    <row r="30" spans="1:21" x14ac:dyDescent="0.35">
      <c r="A30" s="1" t="s">
        <v>173</v>
      </c>
      <c r="B30" s="1" t="s">
        <v>174</v>
      </c>
      <c r="C30" s="1" t="s">
        <v>1082</v>
      </c>
      <c r="D30" s="1" t="s">
        <v>1098</v>
      </c>
      <c r="E30" s="1" t="s">
        <v>175</v>
      </c>
      <c r="F30" s="1" t="s">
        <v>1099</v>
      </c>
      <c r="G30" s="1" t="s">
        <v>1100</v>
      </c>
      <c r="H30" s="1" t="s">
        <v>1101</v>
      </c>
    </row>
    <row r="31" spans="1:21" x14ac:dyDescent="0.35">
      <c r="A31" s="17" t="s">
        <v>177</v>
      </c>
      <c r="B31" s="18" t="s">
        <v>182</v>
      </c>
      <c r="C31" s="17" t="s">
        <v>1089</v>
      </c>
      <c r="D31" s="17" t="s">
        <v>1102</v>
      </c>
      <c r="E31" s="17" t="s">
        <v>0</v>
      </c>
      <c r="F31" s="30">
        <v>43.7</v>
      </c>
      <c r="G31" s="30">
        <v>9.5</v>
      </c>
      <c r="H31" s="30">
        <v>4328.8</v>
      </c>
    </row>
    <row r="32" spans="1:21" x14ac:dyDescent="0.35">
      <c r="A32" s="17" t="s">
        <v>177</v>
      </c>
      <c r="B32" s="18" t="s">
        <v>182</v>
      </c>
      <c r="C32" s="17" t="s">
        <v>1103</v>
      </c>
      <c r="D32" s="17" t="s">
        <v>1102</v>
      </c>
      <c r="E32" s="17" t="s">
        <v>0</v>
      </c>
      <c r="F32" s="30">
        <v>23.4</v>
      </c>
      <c r="G32" s="30">
        <v>5.4</v>
      </c>
      <c r="H32" s="30">
        <v>503.6</v>
      </c>
    </row>
    <row r="33" spans="1:8" x14ac:dyDescent="0.35">
      <c r="A33" s="17" t="s">
        <v>177</v>
      </c>
      <c r="B33" s="18" t="s">
        <v>182</v>
      </c>
      <c r="C33" s="17" t="s">
        <v>250</v>
      </c>
      <c r="D33" s="17" t="s">
        <v>1102</v>
      </c>
      <c r="E33" s="17" t="s">
        <v>0</v>
      </c>
      <c r="F33" s="30">
        <v>191.8</v>
      </c>
      <c r="G33" s="30">
        <v>30.7</v>
      </c>
      <c r="H33" s="30">
        <v>1008.9</v>
      </c>
    </row>
    <row r="34" spans="1:8" x14ac:dyDescent="0.35">
      <c r="A34" s="17" t="s">
        <v>177</v>
      </c>
      <c r="B34" s="18" t="s">
        <v>182</v>
      </c>
      <c r="C34" s="17" t="s">
        <v>1501</v>
      </c>
      <c r="D34" s="17" t="s">
        <v>1102</v>
      </c>
      <c r="E34" s="17" t="s">
        <v>0</v>
      </c>
      <c r="F34" s="30">
        <v>104.9</v>
      </c>
      <c r="G34" s="30">
        <v>19.600000000000001</v>
      </c>
      <c r="H34" s="30">
        <v>776.1</v>
      </c>
    </row>
    <row r="35" spans="1:8" x14ac:dyDescent="0.35">
      <c r="A35" s="17" t="s">
        <v>177</v>
      </c>
      <c r="B35" s="18" t="s">
        <v>182</v>
      </c>
      <c r="C35" s="17" t="s">
        <v>1503</v>
      </c>
      <c r="D35" s="17" t="s">
        <v>1102</v>
      </c>
      <c r="E35" s="17" t="s">
        <v>0</v>
      </c>
      <c r="F35" s="30">
        <v>52.1</v>
      </c>
      <c r="G35" s="30">
        <v>11.1</v>
      </c>
      <c r="H35" s="30">
        <v>321</v>
      </c>
    </row>
    <row r="36" spans="1:8" x14ac:dyDescent="0.35">
      <c r="A36" s="17" t="s">
        <v>177</v>
      </c>
      <c r="B36" s="18" t="s">
        <v>182</v>
      </c>
      <c r="C36" s="17" t="s">
        <v>1092</v>
      </c>
      <c r="D36" s="17" t="s">
        <v>1102</v>
      </c>
      <c r="E36" s="17" t="s">
        <v>0</v>
      </c>
      <c r="F36" s="30">
        <v>99</v>
      </c>
      <c r="G36" s="30">
        <v>18.8</v>
      </c>
      <c r="H36" s="30">
        <v>294.60000000000002</v>
      </c>
    </row>
    <row r="37" spans="1:8" x14ac:dyDescent="0.35">
      <c r="A37" s="17" t="s">
        <v>177</v>
      </c>
      <c r="B37" s="18" t="s">
        <v>182</v>
      </c>
      <c r="C37" s="17" t="s">
        <v>1506</v>
      </c>
      <c r="D37" s="17" t="s">
        <v>1102</v>
      </c>
      <c r="E37" s="17" t="s">
        <v>0</v>
      </c>
      <c r="F37" s="20" t="s">
        <v>202</v>
      </c>
      <c r="G37" s="20" t="s">
        <v>202</v>
      </c>
      <c r="H37" s="20" t="s">
        <v>202</v>
      </c>
    </row>
    <row r="38" spans="1:8" x14ac:dyDescent="0.35">
      <c r="A38" s="17" t="s">
        <v>177</v>
      </c>
      <c r="B38" s="18" t="s">
        <v>182</v>
      </c>
      <c r="C38" s="17" t="s">
        <v>1507</v>
      </c>
      <c r="D38" s="17" t="s">
        <v>1102</v>
      </c>
      <c r="E38" s="17" t="s">
        <v>0</v>
      </c>
      <c r="F38" s="20" t="s">
        <v>202</v>
      </c>
      <c r="G38" s="20" t="s">
        <v>202</v>
      </c>
      <c r="H38" s="20" t="s">
        <v>202</v>
      </c>
    </row>
    <row r="39" spans="1:8" x14ac:dyDescent="0.35">
      <c r="A39" s="17" t="s">
        <v>177</v>
      </c>
      <c r="B39" s="18" t="s">
        <v>182</v>
      </c>
      <c r="C39" s="17" t="s">
        <v>130</v>
      </c>
      <c r="D39" s="17" t="s">
        <v>1102</v>
      </c>
      <c r="E39" s="17" t="s">
        <v>0</v>
      </c>
      <c r="F39" s="30">
        <v>54.4</v>
      </c>
      <c r="G39" s="30">
        <v>11.5</v>
      </c>
      <c r="H39" s="30">
        <v>317.10000000000002</v>
      </c>
    </row>
    <row r="40" spans="1:8" x14ac:dyDescent="0.35">
      <c r="A40" s="17" t="s">
        <v>177</v>
      </c>
      <c r="B40" s="18" t="s">
        <v>182</v>
      </c>
      <c r="C40" s="17" t="s">
        <v>31</v>
      </c>
      <c r="D40" s="17" t="s">
        <v>1102</v>
      </c>
      <c r="E40" s="17" t="s">
        <v>0</v>
      </c>
      <c r="F40" s="30">
        <v>50.9</v>
      </c>
      <c r="G40" s="30">
        <v>10.8</v>
      </c>
      <c r="H40" s="30">
        <v>7550.1</v>
      </c>
    </row>
    <row r="42" spans="1:8" x14ac:dyDescent="0.35">
      <c r="A42" s="33" t="s">
        <v>1093</v>
      </c>
    </row>
    <row r="43" spans="1:8" x14ac:dyDescent="0.35">
      <c r="A43" s="28" t="s">
        <v>1094</v>
      </c>
    </row>
    <row r="45" spans="1:8" x14ac:dyDescent="0.35">
      <c r="A45" s="28" t="s">
        <v>1511</v>
      </c>
      <c r="C45" s="1" t="s">
        <v>1082</v>
      </c>
      <c r="D45" s="1" t="s">
        <v>1100</v>
      </c>
    </row>
    <row r="46" spans="1:8" x14ac:dyDescent="0.35">
      <c r="A46" s="28" t="s">
        <v>1096</v>
      </c>
      <c r="C46" s="17" t="s">
        <v>1089</v>
      </c>
      <c r="D46" s="82">
        <v>9.5000000000000001E-2</v>
      </c>
    </row>
    <row r="47" spans="1:8" x14ac:dyDescent="0.35">
      <c r="C47" s="17" t="s">
        <v>1090</v>
      </c>
      <c r="D47" s="82">
        <v>5.4000000000000006E-2</v>
      </c>
    </row>
    <row r="48" spans="1:8" x14ac:dyDescent="0.35">
      <c r="C48" s="17" t="s">
        <v>1500</v>
      </c>
      <c r="D48" s="82">
        <v>0.307</v>
      </c>
    </row>
    <row r="49" spans="1:11" x14ac:dyDescent="0.35">
      <c r="C49" s="17" t="s">
        <v>1501</v>
      </c>
      <c r="D49" s="82">
        <v>0.19600000000000001</v>
      </c>
    </row>
    <row r="50" spans="1:11" x14ac:dyDescent="0.35">
      <c r="C50" s="17" t="s">
        <v>1503</v>
      </c>
      <c r="D50" s="82">
        <v>0.111</v>
      </c>
    </row>
    <row r="51" spans="1:11" x14ac:dyDescent="0.35">
      <c r="C51" s="17" t="s">
        <v>1092</v>
      </c>
      <c r="D51" s="82">
        <v>0.188</v>
      </c>
    </row>
    <row r="52" spans="1:11" x14ac:dyDescent="0.35">
      <c r="C52" s="17" t="s">
        <v>130</v>
      </c>
      <c r="D52" s="84">
        <v>0.115</v>
      </c>
    </row>
    <row r="53" spans="1:11" x14ac:dyDescent="0.35">
      <c r="C53" s="17" t="s">
        <v>1106</v>
      </c>
      <c r="D53" s="82">
        <v>0.1522857142857143</v>
      </c>
    </row>
    <row r="58" spans="1:11" x14ac:dyDescent="0.35">
      <c r="A58" s="1" t="s">
        <v>173</v>
      </c>
      <c r="B58" s="1" t="s">
        <v>174</v>
      </c>
      <c r="C58" s="1" t="s">
        <v>1098</v>
      </c>
      <c r="D58" s="1" t="s">
        <v>175</v>
      </c>
      <c r="E58" s="1" t="s">
        <v>1117</v>
      </c>
      <c r="F58" s="1" t="s">
        <v>1083</v>
      </c>
      <c r="G58" s="1" t="s">
        <v>1084</v>
      </c>
      <c r="H58" s="1" t="s">
        <v>1085</v>
      </c>
      <c r="I58" s="1" t="s">
        <v>1086</v>
      </c>
      <c r="J58" s="1" t="s">
        <v>1087</v>
      </c>
      <c r="K58" s="1" t="s">
        <v>1088</v>
      </c>
    </row>
    <row r="59" spans="1:11" x14ac:dyDescent="0.35">
      <c r="A59" s="17" t="s">
        <v>177</v>
      </c>
      <c r="B59" s="18" t="s">
        <v>182</v>
      </c>
      <c r="C59" s="17" t="s">
        <v>1102</v>
      </c>
      <c r="D59" s="17" t="s">
        <v>0</v>
      </c>
      <c r="E59" s="17" t="s">
        <v>1118</v>
      </c>
      <c r="F59" s="30">
        <v>14821.2</v>
      </c>
      <c r="G59" s="30">
        <v>17024.2</v>
      </c>
      <c r="H59" s="30">
        <v>18996.599999999999</v>
      </c>
      <c r="I59" s="30">
        <v>20640</v>
      </c>
      <c r="J59" s="30">
        <v>22371.3</v>
      </c>
      <c r="K59" s="30">
        <v>24279.4</v>
      </c>
    </row>
    <row r="61" spans="1:11" x14ac:dyDescent="0.35">
      <c r="A61" s="1" t="s">
        <v>173</v>
      </c>
      <c r="B61" s="1" t="s">
        <v>174</v>
      </c>
      <c r="C61" s="1" t="s">
        <v>1108</v>
      </c>
      <c r="D61" s="1" t="s">
        <v>1109</v>
      </c>
      <c r="E61" s="1" t="s">
        <v>1098</v>
      </c>
      <c r="F61" s="1" t="s">
        <v>1083</v>
      </c>
      <c r="G61" s="1" t="s">
        <v>1084</v>
      </c>
      <c r="H61" s="1" t="s">
        <v>1085</v>
      </c>
      <c r="I61" s="1" t="s">
        <v>1086</v>
      </c>
      <c r="J61" s="1" t="s">
        <v>1087</v>
      </c>
      <c r="K61" s="1" t="s">
        <v>1088</v>
      </c>
    </row>
    <row r="62" spans="1:11" x14ac:dyDescent="0.35">
      <c r="A62" s="17" t="s">
        <v>177</v>
      </c>
      <c r="B62" s="18" t="s">
        <v>182</v>
      </c>
      <c r="C62" s="17" t="s">
        <v>1512</v>
      </c>
      <c r="D62" s="17" t="s">
        <v>1089</v>
      </c>
      <c r="E62" s="17" t="s">
        <v>1102</v>
      </c>
      <c r="F62" s="30">
        <v>55.7</v>
      </c>
      <c r="G62" s="30">
        <v>53.8</v>
      </c>
      <c r="H62" s="30">
        <v>52.7</v>
      </c>
      <c r="I62" s="30">
        <v>51.6</v>
      </c>
      <c r="J62" s="30">
        <v>50.1</v>
      </c>
      <c r="K62" s="30">
        <v>49.4</v>
      </c>
    </row>
    <row r="63" spans="1:11" x14ac:dyDescent="0.35">
      <c r="A63" s="17" t="s">
        <v>177</v>
      </c>
      <c r="B63" s="18" t="s">
        <v>182</v>
      </c>
      <c r="C63" s="17" t="s">
        <v>1514</v>
      </c>
      <c r="D63" s="17" t="s">
        <v>1090</v>
      </c>
      <c r="E63" s="17" t="s">
        <v>1102</v>
      </c>
      <c r="F63" s="30">
        <v>12.4</v>
      </c>
      <c r="G63" s="30">
        <v>11.9</v>
      </c>
      <c r="H63" s="30">
        <v>11</v>
      </c>
      <c r="I63" s="30">
        <v>10.5</v>
      </c>
      <c r="J63" s="30">
        <v>10.199999999999999</v>
      </c>
      <c r="K63" s="30">
        <v>10.199999999999999</v>
      </c>
    </row>
    <row r="64" spans="1:11" x14ac:dyDescent="0.35">
      <c r="A64" s="17" t="s">
        <v>177</v>
      </c>
      <c r="B64" s="18" t="s">
        <v>182</v>
      </c>
      <c r="C64" s="17" t="s">
        <v>1515</v>
      </c>
      <c r="D64" s="17" t="s">
        <v>1089</v>
      </c>
      <c r="E64" s="17" t="s">
        <v>1102</v>
      </c>
      <c r="F64" s="30">
        <v>8.1999999999999993</v>
      </c>
      <c r="G64" s="30">
        <v>9.1</v>
      </c>
      <c r="H64" s="30">
        <v>9.6999999999999993</v>
      </c>
      <c r="I64" s="30">
        <v>10.4</v>
      </c>
      <c r="J64" s="30">
        <v>10</v>
      </c>
      <c r="K64" s="30">
        <v>9.6</v>
      </c>
    </row>
    <row r="65" spans="1:11" x14ac:dyDescent="0.35">
      <c r="A65" s="17" t="s">
        <v>177</v>
      </c>
      <c r="B65" s="18" t="s">
        <v>182</v>
      </c>
      <c r="C65" s="17" t="s">
        <v>1517</v>
      </c>
      <c r="D65" s="17" t="s">
        <v>1501</v>
      </c>
      <c r="E65" s="17" t="s">
        <v>1102</v>
      </c>
      <c r="F65" s="30">
        <v>5</v>
      </c>
      <c r="G65" s="30">
        <v>5.3</v>
      </c>
      <c r="H65" s="30">
        <v>5.6</v>
      </c>
      <c r="I65" s="30">
        <v>5.8</v>
      </c>
      <c r="J65" s="30">
        <v>6.8</v>
      </c>
      <c r="K65" s="30">
        <v>7.3</v>
      </c>
    </row>
    <row r="66" spans="1:11" x14ac:dyDescent="0.35">
      <c r="A66" s="17" t="s">
        <v>177</v>
      </c>
      <c r="B66" s="18" t="s">
        <v>182</v>
      </c>
      <c r="C66" s="17" t="s">
        <v>1518</v>
      </c>
      <c r="D66" s="17" t="s">
        <v>1089</v>
      </c>
      <c r="E66" s="17" t="s">
        <v>1102</v>
      </c>
      <c r="F66" s="30">
        <v>2.9</v>
      </c>
      <c r="G66" s="30">
        <v>3.1</v>
      </c>
      <c r="H66" s="30">
        <v>3.4</v>
      </c>
      <c r="I66" s="30">
        <v>3.6</v>
      </c>
      <c r="J66" s="30">
        <v>3.5</v>
      </c>
      <c r="K66" s="30">
        <v>3.4</v>
      </c>
    </row>
    <row r="67" spans="1:11" x14ac:dyDescent="0.35">
      <c r="A67" s="17" t="s">
        <v>177</v>
      </c>
      <c r="B67" s="18" t="s">
        <v>182</v>
      </c>
      <c r="C67" s="17" t="s">
        <v>1112</v>
      </c>
      <c r="D67" s="17" t="s">
        <v>1090</v>
      </c>
      <c r="E67" s="17" t="s">
        <v>1102</v>
      </c>
      <c r="F67" s="30">
        <v>2.1</v>
      </c>
      <c r="G67" s="30">
        <v>1.9</v>
      </c>
      <c r="H67" s="30">
        <v>1.8</v>
      </c>
      <c r="I67" s="30">
        <v>1.7</v>
      </c>
      <c r="J67" s="30">
        <v>1.6</v>
      </c>
      <c r="K67" s="30">
        <v>1.6</v>
      </c>
    </row>
    <row r="69" spans="1:11" x14ac:dyDescent="0.35">
      <c r="F69" t="s">
        <v>1083</v>
      </c>
      <c r="G69" t="s">
        <v>1084</v>
      </c>
      <c r="H69" t="s">
        <v>1085</v>
      </c>
      <c r="I69" t="s">
        <v>1086</v>
      </c>
      <c r="J69" t="s">
        <v>1087</v>
      </c>
    </row>
    <row r="70" spans="1:11" x14ac:dyDescent="0.35">
      <c r="D70" s="552" t="str">
        <f>'Condensed milk'!L85</f>
        <v>Vietnam Dairy Products JSC (Vinamilk)</v>
      </c>
      <c r="E70" s="17" t="s">
        <v>1121</v>
      </c>
      <c r="F70">
        <v>3329.3221999999996</v>
      </c>
      <c r="G70">
        <v>3676.3670999999995</v>
      </c>
      <c r="H70">
        <v>4038.0373</v>
      </c>
      <c r="I70">
        <v>4204.6714000000002</v>
      </c>
      <c r="J70">
        <v>4442.4431999999997</v>
      </c>
      <c r="K70">
        <v>11994.0236</v>
      </c>
    </row>
    <row r="71" spans="1:11" x14ac:dyDescent="0.35">
      <c r="D71" s="552"/>
      <c r="E71" s="17" t="s">
        <v>1122</v>
      </c>
      <c r="F71">
        <v>2630.39</v>
      </c>
      <c r="G71">
        <v>2865.7649999999999</v>
      </c>
      <c r="H71">
        <v>3109.5514999999996</v>
      </c>
      <c r="I71">
        <v>3203.1295</v>
      </c>
      <c r="J71">
        <v>3360.3095999999996</v>
      </c>
    </row>
    <row r="72" spans="1:11" x14ac:dyDescent="0.35">
      <c r="D72" s="552" t="str">
        <f>'Condensed milk'!L87</f>
        <v>FrieslandCampina Vietnam Co Ltd</v>
      </c>
      <c r="E72" s="17" t="s">
        <v>1123</v>
      </c>
      <c r="F72">
        <v>631.29359999999997</v>
      </c>
      <c r="G72">
        <v>663.21989999999994</v>
      </c>
      <c r="H72">
        <v>613.15099999999995</v>
      </c>
      <c r="I72">
        <v>622.58010000000002</v>
      </c>
      <c r="J72">
        <v>645.4831999999999</v>
      </c>
      <c r="K72">
        <v>3.7050000000000001</v>
      </c>
    </row>
    <row r="73" spans="1:11" x14ac:dyDescent="0.35">
      <c r="D73" s="552"/>
      <c r="E73" t="s">
        <v>1124</v>
      </c>
      <c r="F73">
        <v>616.26279999999997</v>
      </c>
      <c r="G73">
        <v>638.6561999999999</v>
      </c>
      <c r="H73">
        <v>604.39170000000001</v>
      </c>
      <c r="I73">
        <v>568.44269999999995</v>
      </c>
      <c r="J73">
        <v>579.03639999999996</v>
      </c>
    </row>
    <row r="75" spans="1:11" x14ac:dyDescent="0.35">
      <c r="D75" t="s">
        <v>1501</v>
      </c>
    </row>
  </sheetData>
  <mergeCells count="2">
    <mergeCell ref="D70:D71"/>
    <mergeCell ref="D72:D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FCFE</vt:lpstr>
      <vt:lpstr>Sheet9</vt:lpstr>
      <vt:lpstr>revenue breakdown</vt:lpstr>
      <vt:lpstr>Sheet5</vt:lpstr>
      <vt:lpstr>PE</vt:lpstr>
      <vt:lpstr>Financial ratio</vt:lpstr>
      <vt:lpstr>CAPEX</vt:lpstr>
      <vt:lpstr>BS IS</vt:lpstr>
      <vt:lpstr>Sheet6</vt:lpstr>
      <vt:lpstr>CAPM</vt:lpstr>
      <vt:lpstr>Domes</vt:lpstr>
      <vt:lpstr>Vinamilk</vt:lpstr>
      <vt:lpstr>Sheet7</vt:lpstr>
      <vt:lpstr>Condensed milk</vt:lpstr>
      <vt:lpstr>Asia Pacific</vt:lpstr>
      <vt:lpstr>yogurt and sour milk</vt:lpstr>
      <vt:lpstr>cheese</vt:lpstr>
      <vt:lpstr>drinking milk</vt:lpstr>
      <vt:lpstr>baby food</vt:lpstr>
      <vt:lpstr>Sheet8</vt:lpstr>
      <vt:lpstr>plant-based dairy</vt:lpstr>
      <vt:lpstr>Morigana</vt:lpstr>
      <vt:lpstr>BS</vt:lpstr>
      <vt:lpstr>Sheet4</vt:lpstr>
      <vt:lpstr>Hatsun</vt:lpstr>
      <vt:lpstr>Yakult</vt:lpstr>
      <vt:lpstr>Feihe</vt:lpstr>
      <vt:lpstr>Bright</vt:lpstr>
      <vt:lpstr>revenue growth</vt:lpstr>
      <vt:lpstr>Sheet2</vt:lpstr>
      <vt:lpstr>Sheet1</vt:lpstr>
      <vt:lpstr>butter spreads</vt:lpstr>
      <vt:lpstr>drinking milk 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Minh Nguyễn</dc:creator>
  <cp:keywords/>
  <dc:description/>
  <cp:lastModifiedBy>Minh Nguyen</cp:lastModifiedBy>
  <cp:revision/>
  <dcterms:created xsi:type="dcterms:W3CDTF">2023-11-27T11:03:58Z</dcterms:created>
  <dcterms:modified xsi:type="dcterms:W3CDTF">2024-10-15T09:04:43Z</dcterms:modified>
  <cp:category/>
  <cp:contentStatus/>
</cp:coreProperties>
</file>